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Ex1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iorg-my.sharepoint.com/personal/johanna_lehtmets_sei_org/Documents/Documents/RESPONSE/2.2, 4.3/"/>
    </mc:Choice>
  </mc:AlternateContent>
  <xr:revisionPtr revIDLastSave="0" documentId="8_{11770DAF-F7A0-41C0-811C-25D7A93A1A03}" xr6:coauthVersionLast="47" xr6:coauthVersionMax="47" xr10:uidLastSave="{00000000-0000-0000-0000-000000000000}"/>
  <bookViews>
    <workbookView xWindow="-110" yWindow="-110" windowWidth="19420" windowHeight="10420" xr2:uid="{EBD644C0-D715-B54C-83B3-F4A3584D39DD}"/>
  </bookViews>
  <sheets>
    <sheet name="Introduction" sheetId="16" r:id="rId1"/>
    <sheet name="Inputs" sheetId="4" r:id="rId2"/>
    <sheet name="Dashboard" sheetId="10" r:id="rId3"/>
    <sheet name="Model_TripData" sheetId="9" state="hidden" r:id="rId4"/>
    <sheet name="Model_CostBenefits" sheetId="6" state="hidden" r:id="rId5"/>
    <sheet name="Model_TripDistanceDistributions" sheetId="11" state="hidden" r:id="rId6"/>
    <sheet name="Model_TripTimeDistributions" sheetId="13" state="hidden" r:id="rId7"/>
    <sheet name="Model_KPIcoefficients" sheetId="15" state="hidden" r:id="rId8"/>
  </sheets>
  <definedNames>
    <definedName name="_xlchart.v5.0" hidden="1">Dashboard!$B$47:$B$49</definedName>
    <definedName name="_xlchart.v5.1" hidden="1">Dashboard!$C$47:$C$49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9" l="1"/>
  <c r="C27" i="10" l="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Q6" i="11"/>
  <c r="Q5" i="11"/>
  <c r="Q4" i="11"/>
  <c r="Q3" i="11"/>
  <c r="R3" i="11" s="1"/>
  <c r="N5" i="11"/>
  <c r="B66" i="4"/>
  <c r="R4" i="11" l="1"/>
  <c r="R5" i="11" s="1"/>
  <c r="R6" i="11" s="1"/>
  <c r="R7" i="11" s="1"/>
  <c r="R8" i="11" s="1"/>
  <c r="R9" i="11" s="1"/>
  <c r="R10" i="11" s="1"/>
  <c r="R11" i="11" s="1"/>
  <c r="R12" i="11" s="1"/>
  <c r="R13" i="11" s="1"/>
  <c r="R14" i="11" s="1"/>
  <c r="R15" i="11" s="1"/>
  <c r="R16" i="11" s="1"/>
  <c r="R17" i="11" s="1"/>
  <c r="R18" i="11" s="1"/>
  <c r="R19" i="11" s="1"/>
  <c r="R20" i="11" s="1"/>
  <c r="R21" i="11" s="1"/>
  <c r="R22" i="11" s="1"/>
  <c r="R23" i="11" s="1"/>
  <c r="R24" i="11" s="1"/>
  <c r="D35" i="16"/>
  <c r="C35" i="16"/>
  <c r="B19" i="4"/>
  <c r="B58" i="4"/>
  <c r="C5" i="9"/>
  <c r="C3" i="11"/>
  <c r="C4" i="11" s="1"/>
  <c r="C5" i="11" s="1"/>
  <c r="C6" i="11" s="1"/>
  <c r="C7" i="11" s="1"/>
  <c r="C8" i="11" s="1"/>
  <c r="C9" i="11" s="1"/>
  <c r="C10" i="11" s="1"/>
  <c r="C10" i="6"/>
  <c r="C6" i="10"/>
  <c r="K3" i="11"/>
  <c r="K4" i="11" s="1"/>
  <c r="K5" i="11" s="1"/>
  <c r="K6" i="11" s="1"/>
  <c r="K7" i="11" s="1"/>
  <c r="K8" i="11" s="1"/>
  <c r="K9" i="11" s="1"/>
  <c r="K10" i="11" s="1"/>
  <c r="G3" i="11"/>
  <c r="G4" i="11" s="1"/>
  <c r="G5" i="11" s="1"/>
  <c r="G6" i="11" s="1"/>
  <c r="G7" i="11" s="1"/>
  <c r="G8" i="11" s="1"/>
  <c r="G9" i="11" s="1"/>
  <c r="G10" i="11" s="1"/>
  <c r="C11" i="9"/>
  <c r="B17" i="9"/>
  <c r="C11" i="11" l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N8" i="11"/>
  <c r="G11" i="1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N9" i="11"/>
  <c r="K11" i="11"/>
  <c r="K12" i="11" s="1"/>
  <c r="K13" i="11" s="1"/>
  <c r="K14" i="11" s="1"/>
  <c r="K15" i="11" s="1"/>
  <c r="K16" i="11" s="1"/>
  <c r="K17" i="11" s="1"/>
  <c r="K18" i="11" s="1"/>
  <c r="K19" i="11" s="1"/>
  <c r="K20" i="11" s="1"/>
  <c r="K21" i="11" s="1"/>
  <c r="K22" i="11" s="1"/>
  <c r="K23" i="11" s="1"/>
  <c r="K24" i="11" s="1"/>
  <c r="N10" i="11"/>
  <c r="C8" i="6"/>
  <c r="B3" i="9"/>
  <c r="C9" i="9" s="1"/>
  <c r="C10" i="9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3" i="13"/>
  <c r="E3" i="13" s="1"/>
  <c r="E4" i="13" s="1"/>
  <c r="E5" i="13" s="1"/>
  <c r="E6" i="13" s="1"/>
  <c r="E7" i="13" s="1"/>
  <c r="E8" i="13" s="1"/>
  <c r="E9" i="13" l="1"/>
  <c r="E10" i="13" s="1"/>
  <c r="E11" i="13" s="1"/>
  <c r="E12" i="13" s="1"/>
  <c r="B4" i="9"/>
  <c r="B20" i="9" s="1"/>
  <c r="E13" i="13" l="1"/>
  <c r="E14" i="13" s="1"/>
  <c r="E15" i="13" s="1"/>
  <c r="E16" i="13" s="1"/>
  <c r="E17" i="13" s="1"/>
  <c r="E18" i="13" s="1"/>
  <c r="E19" i="13" s="1"/>
  <c r="E20" i="13" s="1"/>
  <c r="E21" i="13" s="1"/>
  <c r="E22" i="13" s="1"/>
  <c r="C12" i="9"/>
  <c r="B32" i="9"/>
  <c r="B27" i="9"/>
  <c r="B35" i="9"/>
  <c r="B29" i="9" l="1"/>
  <c r="B28" i="9"/>
  <c r="B29" i="6" s="1"/>
  <c r="C8" i="9"/>
  <c r="C17" i="9" s="1"/>
  <c r="C16" i="9" s="1"/>
  <c r="C28" i="6" s="1"/>
  <c r="E23" i="13"/>
  <c r="E24" i="13" s="1"/>
  <c r="E25" i="13" s="1"/>
  <c r="E26" i="13" s="1"/>
  <c r="J2" i="13"/>
  <c r="J3" i="13" s="1"/>
  <c r="J4" i="13" s="1"/>
  <c r="B15" i="6"/>
  <c r="C3" i="10" l="1"/>
  <c r="B22" i="9"/>
  <c r="B3" i="6" s="1"/>
  <c r="B17" i="6" s="1"/>
  <c r="B23" i="9"/>
  <c r="B27" i="6" s="1"/>
  <c r="B5" i="6"/>
  <c r="B20" i="6" s="1"/>
  <c r="B24" i="9"/>
  <c r="B21" i="9"/>
  <c r="B4" i="6" s="1"/>
  <c r="B16" i="6" s="1"/>
  <c r="B14" i="6" l="1"/>
  <c r="B23" i="6" s="1"/>
  <c r="C4" i="9" l="1"/>
  <c r="C20" i="9" s="1"/>
  <c r="C11" i="6"/>
  <c r="C14" i="9"/>
  <c r="C9" i="6" s="1"/>
  <c r="C13" i="9"/>
  <c r="C4" i="10" s="1"/>
  <c r="C26" i="10" s="1"/>
  <c r="C24" i="10" l="1"/>
  <c r="C25" i="10"/>
  <c r="C5" i="10"/>
  <c r="C15" i="6"/>
  <c r="C48" i="10" s="1"/>
  <c r="C23" i="10"/>
  <c r="C32" i="9"/>
  <c r="C3" i="9"/>
  <c r="C27" i="9"/>
  <c r="C35" i="9"/>
  <c r="C29" i="9" l="1"/>
  <c r="C28" i="9"/>
  <c r="C29" i="6" s="1"/>
  <c r="C24" i="6"/>
  <c r="C55" i="10" s="1"/>
  <c r="C21" i="9"/>
  <c r="C4" i="6" s="1"/>
  <c r="C5" i="6"/>
  <c r="C20" i="6" s="1"/>
  <c r="C22" i="9"/>
  <c r="C3" i="6" s="1"/>
  <c r="C24" i="9"/>
  <c r="C23" i="9"/>
  <c r="C27" i="6" s="1"/>
  <c r="C30" i="6" l="1"/>
  <c r="C31" i="6"/>
  <c r="C50" i="10" s="1"/>
  <c r="C54" i="10" s="1"/>
  <c r="C17" i="6"/>
  <c r="C14" i="6"/>
  <c r="C23" i="6" s="1"/>
  <c r="C56" i="10" s="1"/>
  <c r="C16" i="6"/>
  <c r="C45" i="10"/>
  <c r="C46" i="10" l="1"/>
  <c r="C47" i="10" s="1"/>
  <c r="C49" i="10" l="1"/>
  <c r="C53" i="10"/>
</calcChain>
</file>

<file path=xl/sharedStrings.xml><?xml version="1.0" encoding="utf-8"?>
<sst xmlns="http://schemas.openxmlformats.org/spreadsheetml/2006/main" count="366" uniqueCount="282">
  <si>
    <t>Mode split: Auto (%)</t>
  </si>
  <si>
    <t>Mode split: Cycling (%)</t>
  </si>
  <si>
    <t>Mode split: Walking (%)</t>
  </si>
  <si>
    <t>AUTO</t>
  </si>
  <si>
    <t>CYCLING</t>
  </si>
  <si>
    <t>WALKING</t>
  </si>
  <si>
    <t>Proportion of trips taken with non-dedicated vehicles (%)</t>
  </si>
  <si>
    <t>Monthly  trips with dedicated vehicles (#)</t>
  </si>
  <si>
    <t>Monthly trips with non-dedicated vehicles (#)</t>
  </si>
  <si>
    <t>Dedicated service hours per month (hours)</t>
  </si>
  <si>
    <t>Monthly trips (all) (#)</t>
  </si>
  <si>
    <t>TOTAL COSTS</t>
  </si>
  <si>
    <t>Number of mass transit buses on road (#)</t>
  </si>
  <si>
    <t>Monthly mass transit trips (#)</t>
  </si>
  <si>
    <t>Monthly auto trips (#)</t>
  </si>
  <si>
    <t>Monthly cycling trips (#)</t>
  </si>
  <si>
    <t>Monthly walking trips (#)</t>
  </si>
  <si>
    <t>https://www.apta.com/wp-content/uploads/APTA_Fact-Book-2019_FINAL.pdf</t>
  </si>
  <si>
    <t>Average passengers per vehicle hour (PPVH) (#)</t>
  </si>
  <si>
    <t>Mode split: Mass transit - other (e.g. rail) (%)</t>
  </si>
  <si>
    <t>Mode split: Mass transit - bus (%)</t>
  </si>
  <si>
    <t>Does mode split add up to 100?</t>
  </si>
  <si>
    <t>Service hours per month (hours)</t>
  </si>
  <si>
    <t>Average trip distance (km)</t>
  </si>
  <si>
    <t>Average number of trips per person per day - all modes combined (#)</t>
  </si>
  <si>
    <t>Depreciation period of mass transit vehicle (years)</t>
  </si>
  <si>
    <t>https://www.liveabout.com/bus-cost-to-purchase-and-operate-2798845</t>
  </si>
  <si>
    <t>GENERAL</t>
  </si>
  <si>
    <t>https://www.translink.ca/-/media/Documents/plans_and_projects/managing_the_transit_network/bus_speed_reliability/2019_Bus_Speed_and_Reliability_Report.pdf?la=en&amp;hash=78C00AA8DF9DB5E10E1BF25CF7C7B5B1F05B9B47</t>
  </si>
  <si>
    <t>Average bus speed (km/h)</t>
  </si>
  <si>
    <t>VKT by transit buses per month (km)</t>
  </si>
  <si>
    <t>Average trips per vehicle per day (#)</t>
  </si>
  <si>
    <t>TOTAL BENEFITS</t>
  </si>
  <si>
    <t>Proportion of trips at peak times (%)</t>
  </si>
  <si>
    <t>Proportion of trips at off-peak times (%)</t>
  </si>
  <si>
    <t>Proportion of trips that are recreational/zero-cost (%)</t>
  </si>
  <si>
    <t>Passenger kilometres per month (km)</t>
  </si>
  <si>
    <t>Total population in zone (#)</t>
  </si>
  <si>
    <t>Zone type</t>
  </si>
  <si>
    <t>Upper bound (km)</t>
  </si>
  <si>
    <t>Proportion of trips (%)</t>
  </si>
  <si>
    <t>Zone perimeter length (km)</t>
  </si>
  <si>
    <t>Time</t>
  </si>
  <si>
    <t>Outbound Weight (%)</t>
  </si>
  <si>
    <t>Inbound Weight (%)</t>
  </si>
  <si>
    <t>Total Per Hour</t>
  </si>
  <si>
    <t>Cumulative % of trips</t>
  </si>
  <si>
    <t>Proportion of trips included by zone size (%)</t>
  </si>
  <si>
    <t>Proportion of trips included by service hours (%)</t>
  </si>
  <si>
    <t>Proportion of trips included by service days (%)</t>
  </si>
  <si>
    <t>AVERAGE DISTANCES BY ZONE TYPE</t>
  </si>
  <si>
    <r>
      <rPr>
        <b/>
        <sz val="12"/>
        <color rgb="FF000000"/>
        <rFont val="Arial"/>
        <family val="2"/>
      </rPr>
      <t>Final average travel distance</t>
    </r>
    <r>
      <rPr>
        <sz val="12"/>
        <color rgb="FF000000"/>
        <rFont val="Arial"/>
        <family val="2"/>
      </rPr>
      <t xml:space="preserve"> (km)</t>
    </r>
  </si>
  <si>
    <t>Average travel distance URBAN (km)</t>
  </si>
  <si>
    <t>Average travel distance SUBURBAN (km)</t>
  </si>
  <si>
    <t>Average travel distance RURAL (km)</t>
  </si>
  <si>
    <t>% of trips included by zone size URBAN (%)</t>
  </si>
  <si>
    <t>% of trips included by zone size SUBURBAN (%)</t>
  </si>
  <si>
    <t>% of trips included by zone size RURAL (%)</t>
  </si>
  <si>
    <t>URBAN DISTRIBUTION</t>
  </si>
  <si>
    <t>SUBURBAN DISTRIBUTION</t>
  </si>
  <si>
    <t>RURAL DISTRIBUTION</t>
  </si>
  <si>
    <t>COSTS PER TRIP</t>
  </si>
  <si>
    <t>Daily vehicle hours (dedicated vehicles)</t>
  </si>
  <si>
    <t>Number of dedicated vehicles (#)</t>
  </si>
  <si>
    <t>PROPORTION OF TRIPS CAPTURED BY ZONE TYPE</t>
  </si>
  <si>
    <t>Median wait time (mins)</t>
  </si>
  <si>
    <t>KPI PREDICTION COEFFICIENTS</t>
  </si>
  <si>
    <t>Max wait time (mins)</t>
  </si>
  <si>
    <t>Median wait time: Boardings coefficient</t>
  </si>
  <si>
    <t>Median wait time: Vehicle seconds coefficient</t>
  </si>
  <si>
    <t>Median wait time: Intercept</t>
  </si>
  <si>
    <t>Max wait time: Boardings coefficient</t>
  </si>
  <si>
    <t>Max wait time: Vehicle seconds coefficient</t>
  </si>
  <si>
    <t>Max wait time: Intercept</t>
  </si>
  <si>
    <t>Pooled trips ratio: Boardings coefficient</t>
  </si>
  <si>
    <t>Pooled trips ratio: Vehicle seconds coefficient</t>
  </si>
  <si>
    <t>Pooled trips ratio: Intercept</t>
  </si>
  <si>
    <t>Pooled trips ratio (%)</t>
  </si>
  <si>
    <t>Cost / Benefit Analysis (annual)</t>
  </si>
  <si>
    <t>Key Performance Indicators (KPIs) (daily)</t>
  </si>
  <si>
    <t>Total number of vehicle hours supplied to the service by dedicated vehicles.</t>
  </si>
  <si>
    <t>Total benefits minus total costs per year. Negative values represent a loss.</t>
  </si>
  <si>
    <t>Average efficiency (or 'productivity') of the service, measured in passengers per dedicated vehicle hour (PPVH).</t>
  </si>
  <si>
    <t>Total costs, minus fare revenue, divided by total trips.</t>
  </si>
  <si>
    <t>The median time a passenger must wait to be picked up once they have booked a trip.</t>
  </si>
  <si>
    <t>The maximum time a passenger must wait to be picked up once they have booked a trip.</t>
  </si>
  <si>
    <t>Percentage of trips where a passenger shared their trip with another passenger.</t>
  </si>
  <si>
    <t>Changes in operational costs of fixed-route mass transportation, following the introduction of on-demand service.</t>
  </si>
  <si>
    <t>FIXED-ROUTE MASS TRANSPORTATION</t>
  </si>
  <si>
    <t>Hourly operational cost of running 1 mass transit vehicle (€)</t>
  </si>
  <si>
    <t>Capital cost of 1 mass transit vehicle (€)</t>
  </si>
  <si>
    <t>Average trip fare (€)</t>
  </si>
  <si>
    <t>Monthly mass transit vehicle operations cost (€)</t>
  </si>
  <si>
    <t>Amortization of vehicle capital costs per year (€)</t>
  </si>
  <si>
    <t>Fare revenue per year - mass transit bus (€)</t>
  </si>
  <si>
    <t>Monthly dedicated vehicle operations cost (€)</t>
  </si>
  <si>
    <t>Monthly non-dedicated vehicle operations cost (€)</t>
  </si>
  <si>
    <t>Amortization of dedicated vehicle capital costs per year (€)</t>
  </si>
  <si>
    <t>Mass transit costs per year (€)</t>
  </si>
  <si>
    <t>Capital costs per year (€)</t>
  </si>
  <si>
    <t>Operational costs per year (€)</t>
  </si>
  <si>
    <t>Fare revenue benefits per year (€)</t>
  </si>
  <si>
    <t>Cost per trip - mass transit (€)</t>
  </si>
  <si>
    <t>Monthly cost of running DRT technology per vehicle (€)</t>
  </si>
  <si>
    <t>Hourly operational cost of running 1 dedicated vehicle (€)</t>
  </si>
  <si>
    <t>Capital cost of 1 dedicated vehicle (€)</t>
  </si>
  <si>
    <t>Fare revenue (€)</t>
  </si>
  <si>
    <t>Fixed-route transportation cost savings (€)</t>
  </si>
  <si>
    <t>Proportion of trips taken with dedicated vehicles (%)</t>
  </si>
  <si>
    <t>Parameter value</t>
  </si>
  <si>
    <t>Parameter description</t>
  </si>
  <si>
    <t>This demand prognostication tool was commissioned by the Stockholm Environment Institute from Spare Labs, Inc.</t>
  </si>
  <si>
    <t>The key functionality of the tool is threefold:</t>
  </si>
  <si>
    <t>2. Calculate the key performance indicators (KPIs) of a service designed to address that demand.</t>
  </si>
  <si>
    <t>3. Estimate basic financial, social and environmental return on investment (ROI) from the designed service.</t>
  </si>
  <si>
    <t>The tool consists of the following sheets:</t>
  </si>
  <si>
    <t>Introduction</t>
  </si>
  <si>
    <t>Dashboard</t>
  </si>
  <si>
    <t>Overview of the model and instructions for how to use it.</t>
  </si>
  <si>
    <t>Model_TripData</t>
  </si>
  <si>
    <t xml:space="preserve">OVERVIEW </t>
  </si>
  <si>
    <t>Model_TripDistanceDistributions</t>
  </si>
  <si>
    <t>Calculates key trip-based parameters to estimate demand.</t>
  </si>
  <si>
    <t>Model_TripTimeDistributions</t>
  </si>
  <si>
    <t>Calculates cumulative distributions of trip distances by zone type.</t>
  </si>
  <si>
    <t>Calculates cumulative distributions of trip times over a typical day.</t>
  </si>
  <si>
    <t>Model_KPIcoefficients</t>
  </si>
  <si>
    <t>Coefficients for the regression model predicting KPIs, trained on real data acquired by Spare.</t>
  </si>
  <si>
    <t>FIXED-ROUTE TRANSPORTATION: OPERATIONAL ASSUMPTIONS</t>
  </si>
  <si>
    <t>Proportion of  DRT trips that are induced (%)</t>
  </si>
  <si>
    <t>Description</t>
  </si>
  <si>
    <t>Legend for cell colours:</t>
  </si>
  <si>
    <t>Typical trip distance for all trips taken on all modes. This is used to adjust demand estimates depending on zone type.</t>
  </si>
  <si>
    <t>Typical trip proportions on a typical hourly basis, for all trips taken on all modes.</t>
  </si>
  <si>
    <t>TYPICAL DAY</t>
  </si>
  <si>
    <t>Cell containing model output, or values that must not be altered by the user.</t>
  </si>
  <si>
    <t>Inputs</t>
  </si>
  <si>
    <t>At-a-glance demand estimations, KPIs and ROI results.</t>
  </si>
  <si>
    <t>Main inputs for the model, which affect calculations and the results displayed in the Dashboard.</t>
  </si>
  <si>
    <t>https://www.marsdd.com/wp-content/uploads/2016/12/Microtransit-report-2016.pdf</t>
  </si>
  <si>
    <t>Total population residing in the area being considered for DRT.</t>
  </si>
  <si>
    <t>Cell requiring input from the user.</t>
  </si>
  <si>
    <t>Proportion of all trips taken using DRT, once a service is introduced. Adoption rate is affected by the availability of other transportation options, local attitudes to public transportation, and the marketing of the service.</t>
  </si>
  <si>
    <t xml:space="preserve">Total perimeter of the zone being considered for DRT. This is used as a proxy for zone size. </t>
  </si>
  <si>
    <t>-</t>
  </si>
  <si>
    <t>MODE SPLIT / MODE SHIFT: BEFORE DRT</t>
  </si>
  <si>
    <t>MODE SPLIT / MODE SHIFT: AFTER DRT</t>
  </si>
  <si>
    <t>Proportion of all trips taken using mass transit (bus), following the introduction of the DRT service.</t>
  </si>
  <si>
    <t>Proportion of all trips taken using mass transit (other), following the introduction of the DRT service.</t>
  </si>
  <si>
    <t>Proportion of all trips taken using a car, following the introduction of the DRT service.</t>
  </si>
  <si>
    <t>Proportion of all trips taken using a bicycle, following the introduction of the DRT service.</t>
  </si>
  <si>
    <t>Proportion of all trips taken by walking, following the introduction of the DRT service.</t>
  </si>
  <si>
    <t>Check to verify addition to 100%.</t>
  </si>
  <si>
    <t>https://sparelabs.com/en/blog/microtransit-reshapes-modal-split/</t>
  </si>
  <si>
    <t>Proportion of all trips that were induced by the DRT service (i.e. trips that would not have occurred without the existence of the service).</t>
  </si>
  <si>
    <t>Proportion of all trips taken using mass transit (bus), before the introduction of the DRT service.</t>
  </si>
  <si>
    <t>Proportion of all trips taken using mass transit (other), before the introduction of the DRT service.</t>
  </si>
  <si>
    <t>Proportion of all trips taken using a car, before the introduction of the DRT service.</t>
  </si>
  <si>
    <t>Proportion of all trips taken using a bicycle, before the introduction of the DRT service.</t>
  </si>
  <si>
    <t>Proportion of all trips taken by walking, before the introduction of the DRT service.</t>
  </si>
  <si>
    <t>Proportion of DRT trips taken on dedicated vehicles (i.e. vehicles owned and operated on an hourly basis, usually by the transportation authority).</t>
  </si>
  <si>
    <t>Does dedicated/non-dedicated split add up to 100?</t>
  </si>
  <si>
    <t>Cell containing logic verifying appropriate proportional summing.</t>
  </si>
  <si>
    <t>INSTRUCTIONS</t>
  </si>
  <si>
    <t>2. Ensure all the logic cells in the Inputs tab (TRUE/FALSE) are set to TRUE.</t>
  </si>
  <si>
    <t xml:space="preserve">1. Navigate to the Inputs sheet and input as many parameters as possible based on data relevant to your study area. </t>
  </si>
  <si>
    <t>VERSION AND CONTACT</t>
  </si>
  <si>
    <t>This tool was delivered to Stockholm Environment Institute in June 2021. Model data was correct at time of publication.</t>
  </si>
  <si>
    <t xml:space="preserve">https://www.sciencedirect.com/science/article/pii/S2352146516000600 </t>
  </si>
  <si>
    <t>Proportion of DRT trips taken on non-dedicated vehicles (i.e. vehicles charged to the authority on a per-trip basis, such as third-party taxis).</t>
  </si>
  <si>
    <t xml:space="preserve">https://www.researchgate.net/figure/Average-number-of-trips-per-person-by-gender-and-age_tbl1_268149817 </t>
  </si>
  <si>
    <t>Broad category describing the urban character of the zone being considered for DRT. Three set options: Urban, Suburban, Rural.</t>
  </si>
  <si>
    <t>Number of days the service will run per month. For example, weekday-only service would be 20 days a month.</t>
  </si>
  <si>
    <t>The tool is designed to estimate demand and service provision for on-demand/demand-responsive transportation (DRT) in a study area.</t>
  </si>
  <si>
    <t>The model underpinning the tool was trained using operational data collected by Spare Labs Inc.</t>
  </si>
  <si>
    <t>For additional information about model development, contact Spare Labs Inc at www.sparelabs.com.</t>
  </si>
  <si>
    <t>Start time of the DRT service, in 24-hour clock (minimum = 0, maximum = 23).</t>
  </si>
  <si>
    <t>End time of the DRT service, in 24-hour clock (minimum = 0, maximum = 23).</t>
  </si>
  <si>
    <t>Number of dedicated vehicles used to cater to the calculate demand. Model assumes that the number of driver shifts equates to the number of vehicles.</t>
  </si>
  <si>
    <t>Average driver shift length (hrs)</t>
  </si>
  <si>
    <t>Average length of a driver shift.</t>
  </si>
  <si>
    <t>Average ratio of VKTs to passenger kilometers (#)</t>
  </si>
  <si>
    <t xml:space="preserve">Average ratio of the total vehicle kilometres travelled (VKTs) to the passenger kilometres travelled. </t>
  </si>
  <si>
    <t>Average speed of a DRT vehicle across a typical service day, including pickups and dropoffs of shared trips.</t>
  </si>
  <si>
    <t>Average number of trips taken per person per day residing in the zone being considered for DRT, all modes combined.</t>
  </si>
  <si>
    <t>Average DRT vehicle speed (km/h)</t>
  </si>
  <si>
    <t>The monthly cost of running DRT technology on a per-vehicle basis. Costs vary from one company to the next.</t>
  </si>
  <si>
    <t>The hourly cost of running a single dedicated vehicle in the DRT service. This should include fuel, insurance and maintenance costs, as well as driver wages and back-office administrator wages.</t>
  </si>
  <si>
    <t>Average cost per km of using a non-dedicated vehicle (e.g. taxi) (€)</t>
  </si>
  <si>
    <t>The average cost of running a non-dedicated vehicle on a per-kilometre basis (i.e. typical taxi meter costs).</t>
  </si>
  <si>
    <t>Average efficiency of a fixed-route bus in the study area, measured in passengers per vehicl hour.</t>
  </si>
  <si>
    <t>The up-front capital investment required to purchased a dedicated vehicle for the DRT service.</t>
  </si>
  <si>
    <t>Average fare paid by a rider for a trip on the DRT service.</t>
  </si>
  <si>
    <t>Depreciation period, in years, of a dedicated vehicle's initial cost.</t>
  </si>
  <si>
    <t>Depreciation period of dedicated vehicle (years)</t>
  </si>
  <si>
    <t>The hourly cost of running a single mass transit vehicle (i.e. fixed-route bus). This should include fuel, insurance and maintenance costs, as well as driver wages and back-office administrator wages.</t>
  </si>
  <si>
    <t>The up-front capital investment required to purchased a vehicle in the mass transit service covering the study area.</t>
  </si>
  <si>
    <t>Total revenue from increased fares collected in the on-demand service.</t>
  </si>
  <si>
    <t>Total number of on-demand trips taken on all types of vehicles in the service.</t>
  </si>
  <si>
    <t>Total number of on-demand trips taken on dedicated vehicles only.</t>
  </si>
  <si>
    <t>Total number of on-demand trips taken on non-dedicated vehicles only (e.g. taxis).</t>
  </si>
  <si>
    <t>Cost per mass transit trip (€)</t>
  </si>
  <si>
    <t>Fare revenue per year from DRT service (€)</t>
  </si>
  <si>
    <t>DRT costs per year (€)</t>
  </si>
  <si>
    <t>Cost per trip - DRT (€)</t>
  </si>
  <si>
    <t>Average number of passenger trips carried by a single mass transit vehicle per day.</t>
  </si>
  <si>
    <t>ON-DEMAND TRANSPORTATION (DRT): SERVICE DESIGN</t>
  </si>
  <si>
    <t>ON-DEMAND TRANSPORTATION (DRT): OPERATIONAL ASSUMPTIONS</t>
  </si>
  <si>
    <t>ON-DEMAND TRANSPORTATION (DRT): COSTS</t>
  </si>
  <si>
    <t>DRT service days per month (#)</t>
  </si>
  <si>
    <t>Start hour of DRT service (hh)</t>
  </si>
  <si>
    <t>End hour of DRT service (hh)</t>
  </si>
  <si>
    <t>Adoption rate of DRT (% of all potential trips)</t>
  </si>
  <si>
    <t>Daily DRT trips (dedicated and non-dedicated)</t>
  </si>
  <si>
    <t>Daily DRT trips (dedicated only)</t>
  </si>
  <si>
    <t>Daily DRT trips (non-dedicated only)</t>
  </si>
  <si>
    <t>DRT service summary (daily)</t>
  </si>
  <si>
    <t>Cost per DRT trip (€)</t>
  </si>
  <si>
    <t>ON-DEMAND TRANSPORTATION (DRT)</t>
  </si>
  <si>
    <t>Monthly trips (excluding DRT) (#)</t>
  </si>
  <si>
    <t>Actual monthly DRT trips (#)</t>
  </si>
  <si>
    <t>Total theoretical monthly DRT trips (#)</t>
  </si>
  <si>
    <t>VKT by DRT per month (km)</t>
  </si>
  <si>
    <t>Before DRT</t>
  </si>
  <si>
    <t>After DRT</t>
  </si>
  <si>
    <t>Average distance of a trip taken on fixed-route mass transportation.</t>
  </si>
  <si>
    <t>Average fare paid by a rider for a trip on a fixed-route service.</t>
  </si>
  <si>
    <t>Depreciation period, in years, of a fixed-route vehicle's initial cost.</t>
  </si>
  <si>
    <t>FIXED-ROUTE TRANSPORTATION: COSTS</t>
  </si>
  <si>
    <t>GHG - Emissions per year (mass transit bus) (tonnes)</t>
  </si>
  <si>
    <t>GHG - Emissions per year (auto) (tonnes)</t>
  </si>
  <si>
    <t>GHG - Emissions savings per year - CO2 (tonnes)</t>
  </si>
  <si>
    <t>GHG - Emissions savings benefits per year - CO2 ($)</t>
  </si>
  <si>
    <t>Social cost of carbon - CO2 ($/tonne)</t>
  </si>
  <si>
    <t xml:space="preserve">Average cost to society of emitting a tonne of CO2. </t>
  </si>
  <si>
    <t xml:space="preserve">https://www.carbonbrief.org/qa-social-cost-carbon </t>
  </si>
  <si>
    <t>Model_CostBenefits</t>
  </si>
  <si>
    <t>Calculates the costs/benefits of the DRT service to the transportation authority and environment.</t>
  </si>
  <si>
    <t>1. Estimate the demand for DRT in a particular region, given basic demographic information.</t>
  </si>
  <si>
    <t>Emissions factor - CO2 (g/km)</t>
  </si>
  <si>
    <t>https://www.carbonindependent.org/20.html</t>
  </si>
  <si>
    <t>Average emissions factor for a DRT vehicle.</t>
  </si>
  <si>
    <t>Average emissions factor for a mass transit vehicle.</t>
  </si>
  <si>
    <t>GHG EMISSIONS</t>
  </si>
  <si>
    <t>GHG - Emissions per year (DRT) (tonnes)</t>
  </si>
  <si>
    <t>Medium</t>
  </si>
  <si>
    <t>VKT by autos per month (km)</t>
  </si>
  <si>
    <t>https://www.greencarreports.com/news/1071688_95-of-all-trips-could-be-made-in-electric-cars-says-study</t>
  </si>
  <si>
    <t>Average occupancy rate of a private vehicle (people/vehicle/km)</t>
  </si>
  <si>
    <t>https://www.fhwa.dot.gov/tpm/guidance/avo_factors.pdf</t>
  </si>
  <si>
    <t>https://youmatter.world/en/plane-or-cars-which-means-of-transport-pollutes-the-most/</t>
  </si>
  <si>
    <t>Average distance of a trip taken in a typical car trip.</t>
  </si>
  <si>
    <t>Average number of people sharing a vehicle in a private car trip.</t>
  </si>
  <si>
    <t>Average emissions factor for a private car.</t>
  </si>
  <si>
    <t>Check to verify addition of all the Mode Splits to 100%.</t>
  </si>
  <si>
    <t>SELECTED DISTRIBUTION</t>
  </si>
  <si>
    <t>Rural</t>
  </si>
  <si>
    <t>DRT service efficiency (PPVH) (#)</t>
  </si>
  <si>
    <t>Mass transit service efficiency (PPVH) (#)</t>
  </si>
  <si>
    <t>Average efficiency (or 'productivity') of mass transit, measured in passengers per dedicated vehicle hour (PPVH).</t>
  </si>
  <si>
    <t>Total benefits from GHG savings. Negative values represent a loss.</t>
  </si>
  <si>
    <t>Total of transit cost savings and revenue from fares.  Negative values represent a loss.</t>
  </si>
  <si>
    <t>Detail</t>
  </si>
  <si>
    <t>Net annual savings for environment (GHGs) (€)</t>
  </si>
  <si>
    <t>Return on Investment for agency (ROI)</t>
  </si>
  <si>
    <t>Return on Investment for environment (EROI)</t>
  </si>
  <si>
    <t>ROI / Costs Per Trip</t>
  </si>
  <si>
    <t>Parameter value source (if default value is provided)</t>
  </si>
  <si>
    <t>Total benefits to the environment, divided by the cost of investment annually. For every €1, what is the return?</t>
  </si>
  <si>
    <t>Total benefits to the agency, divided by the cost of investment annually. For every €1 , what is the return?</t>
  </si>
  <si>
    <t>Annual operational costs and amortized capital costs of running the on-demand service. Negative values represent a loss.</t>
  </si>
  <si>
    <t>Agency benefits (€)</t>
  </si>
  <si>
    <t>Agency costs (€)</t>
  </si>
  <si>
    <t>Agency net savings (€)</t>
  </si>
  <si>
    <t xml:space="preserve">Demand-Responsive Transportation (DRT): 
Demand Prognostication and Impact Tool
</t>
  </si>
  <si>
    <t>Default value (suggested)</t>
  </si>
  <si>
    <t>8–10</t>
  </si>
  <si>
    <t>4. Once the input data is as accurate as possible, navigate to the Dashboard sheet.</t>
  </si>
  <si>
    <t>5. The results and dashboard graphs are automatically calculated based on your inputs, and shown in the Dashboard sheet.</t>
  </si>
  <si>
    <t>6. If interested in scenario testing, navigate back to the Inputs sheet and change parameters accordingly.</t>
  </si>
  <si>
    <t>7. All sheets named 'Model_xxxx' contain model calculations. Do not alter the calculations in these sheets.</t>
  </si>
  <si>
    <t>3. Ensure all fields in "Parameter Value" (column B) of the Inputs tab are NOT EMPTY. Use suggested default values if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</si>
</sst>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theme="10"/>
      <name val="Arial"/>
      <family val="2"/>
    </font>
    <font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u/>
      <sz val="9"/>
      <color theme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137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D29A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7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1" fontId="2" fillId="0" borderId="0" xfId="0" applyNumberFormat="1" applyFont="1"/>
    <xf numFmtId="0" fontId="1" fillId="0" borderId="0" xfId="1" applyAlignment="1">
      <alignment shrinkToFit="1"/>
    </xf>
    <xf numFmtId="1" fontId="3" fillId="0" borderId="0" xfId="0" applyNumberFormat="1" applyFont="1"/>
    <xf numFmtId="1" fontId="4" fillId="0" borderId="0" xfId="0" applyNumberFormat="1" applyFont="1"/>
    <xf numFmtId="3" fontId="2" fillId="0" borderId="0" xfId="0" applyNumberFormat="1" applyFont="1"/>
    <xf numFmtId="1" fontId="0" fillId="0" borderId="0" xfId="0" applyNumberFormat="1"/>
    <xf numFmtId="0" fontId="6" fillId="0" borderId="0" xfId="1" applyFont="1"/>
    <xf numFmtId="0" fontId="2" fillId="0" borderId="0" xfId="0" applyFont="1" applyAlignment="1">
      <alignment horizontal="left"/>
    </xf>
    <xf numFmtId="3" fontId="2" fillId="0" borderId="0" xfId="0" applyNumberFormat="1" applyFont="1" applyFill="1"/>
    <xf numFmtId="0" fontId="3" fillId="0" borderId="0" xfId="0" applyFont="1" applyFill="1"/>
    <xf numFmtId="2" fontId="2" fillId="0" borderId="0" xfId="0" applyNumberFormat="1" applyFont="1" applyFill="1"/>
    <xf numFmtId="165" fontId="2" fillId="8" borderId="3" xfId="0" applyNumberFormat="1" applyFont="1" applyFill="1" applyBorder="1"/>
    <xf numFmtId="165" fontId="2" fillId="8" borderId="4" xfId="0" applyNumberFormat="1" applyFont="1" applyFill="1" applyBorder="1"/>
    <xf numFmtId="3" fontId="2" fillId="9" borderId="3" xfId="0" applyNumberFormat="1" applyFont="1" applyFill="1" applyBorder="1"/>
    <xf numFmtId="3" fontId="2" fillId="9" borderId="4" xfId="0" applyNumberFormat="1" applyFont="1" applyFill="1" applyBorder="1"/>
    <xf numFmtId="0" fontId="2" fillId="9" borderId="5" xfId="0" applyFont="1" applyFill="1" applyBorder="1"/>
    <xf numFmtId="0" fontId="2" fillId="9" borderId="6" xfId="0" applyFont="1" applyFill="1" applyBorder="1"/>
    <xf numFmtId="0" fontId="2" fillId="9" borderId="7" xfId="0" applyFont="1" applyFill="1" applyBorder="1"/>
    <xf numFmtId="0" fontId="2" fillId="8" borderId="5" xfId="0" applyFont="1" applyFill="1" applyBorder="1"/>
    <xf numFmtId="0" fontId="2" fillId="8" borderId="6" xfId="0" applyFont="1" applyFill="1" applyBorder="1"/>
    <xf numFmtId="4" fontId="2" fillId="8" borderId="7" xfId="0" applyNumberFormat="1" applyFont="1" applyFill="1" applyBorder="1"/>
    <xf numFmtId="0" fontId="3" fillId="4" borderId="0" xfId="0" applyFont="1" applyFill="1" applyBorder="1" applyAlignment="1">
      <alignment horizontal="center"/>
    </xf>
    <xf numFmtId="3" fontId="2" fillId="9" borderId="0" xfId="0" applyNumberFormat="1" applyFont="1" applyFill="1" applyBorder="1"/>
    <xf numFmtId="0" fontId="3" fillId="5" borderId="0" xfId="0" applyFont="1" applyFill="1" applyBorder="1" applyAlignment="1">
      <alignment horizontal="center"/>
    </xf>
    <xf numFmtId="165" fontId="2" fillId="8" borderId="0" xfId="0" applyNumberFormat="1" applyFont="1" applyFill="1" applyBorder="1"/>
    <xf numFmtId="0" fontId="2" fillId="6" borderId="0" xfId="0" applyFont="1" applyFill="1"/>
    <xf numFmtId="0" fontId="6" fillId="0" borderId="0" xfId="1" applyFont="1" applyFill="1" applyAlignment="1">
      <alignment shrinkToFit="1"/>
    </xf>
    <xf numFmtId="0" fontId="2" fillId="3" borderId="0" xfId="0" applyFont="1" applyFill="1"/>
    <xf numFmtId="0" fontId="3" fillId="3" borderId="0" xfId="0" applyFont="1" applyFill="1"/>
    <xf numFmtId="0" fontId="2" fillId="7" borderId="0" xfId="0" applyFont="1" applyFill="1"/>
    <xf numFmtId="0" fontId="4" fillId="0" borderId="0" xfId="0" applyFont="1" applyFill="1"/>
    <xf numFmtId="0" fontId="0" fillId="11" borderId="0" xfId="0" applyFill="1"/>
    <xf numFmtId="0" fontId="2" fillId="11" borderId="0" xfId="0" applyFont="1" applyFill="1"/>
    <xf numFmtId="0" fontId="2" fillId="2" borderId="0" xfId="0" applyFont="1" applyFill="1"/>
    <xf numFmtId="0" fontId="2" fillId="13" borderId="0" xfId="0" applyFont="1" applyFill="1"/>
    <xf numFmtId="0" fontId="2" fillId="14" borderId="0" xfId="0" applyFont="1" applyFill="1"/>
    <xf numFmtId="0" fontId="3" fillId="15" borderId="0" xfId="0" applyFont="1" applyFill="1"/>
    <xf numFmtId="0" fontId="3" fillId="3" borderId="0" xfId="0" applyFont="1" applyFill="1" applyAlignment="1"/>
    <xf numFmtId="0" fontId="2" fillId="2" borderId="12" xfId="0" applyFont="1" applyFill="1" applyBorder="1"/>
    <xf numFmtId="0" fontId="2" fillId="2" borderId="13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2" fillId="0" borderId="0" xfId="1" applyFont="1" applyAlignment="1">
      <alignment shrinkToFit="1"/>
    </xf>
    <xf numFmtId="0" fontId="4" fillId="0" borderId="0" xfId="0" applyFont="1" applyAlignment="1">
      <alignment wrapText="1"/>
    </xf>
    <xf numFmtId="0" fontId="2" fillId="0" borderId="11" xfId="0" applyFont="1" applyBorder="1" applyAlignment="1">
      <alignment vertical="center"/>
    </xf>
    <xf numFmtId="0" fontId="2" fillId="11" borderId="14" xfId="0" applyFont="1" applyFill="1" applyBorder="1"/>
    <xf numFmtId="0" fontId="2" fillId="11" borderId="0" xfId="0" applyFont="1" applyFill="1" applyBorder="1"/>
    <xf numFmtId="0" fontId="2" fillId="11" borderId="15" xfId="0" applyFont="1" applyFill="1" applyBorder="1"/>
    <xf numFmtId="0" fontId="2" fillId="11" borderId="16" xfId="0" applyFont="1" applyFill="1" applyBorder="1"/>
    <xf numFmtId="0" fontId="2" fillId="11" borderId="17" xfId="0" applyFont="1" applyFill="1" applyBorder="1"/>
    <xf numFmtId="0" fontId="2" fillId="11" borderId="18" xfId="0" applyFont="1" applyFill="1" applyBorder="1"/>
    <xf numFmtId="0" fontId="6" fillId="0" borderId="0" xfId="1" applyFont="1" applyFill="1" applyBorder="1"/>
    <xf numFmtId="0" fontId="6" fillId="11" borderId="0" xfId="1" applyFont="1" applyFill="1" applyBorder="1"/>
    <xf numFmtId="0" fontId="2" fillId="0" borderId="0" xfId="0" applyFont="1" applyFill="1" applyBorder="1"/>
    <xf numFmtId="0" fontId="3" fillId="3" borderId="0" xfId="0" applyFont="1" applyFill="1" applyAlignment="1">
      <alignment vertical="center"/>
    </xf>
    <xf numFmtId="164" fontId="3" fillId="3" borderId="0" xfId="2" applyFont="1" applyFill="1" applyAlignment="1">
      <alignment vertical="center" wrapText="1"/>
    </xf>
    <xf numFmtId="0" fontId="3" fillId="17" borderId="0" xfId="0" applyFont="1" applyFill="1" applyAlignment="1">
      <alignment horizontal="center" vertical="center" wrapText="1"/>
    </xf>
    <xf numFmtId="0" fontId="3" fillId="17" borderId="0" xfId="0" applyFont="1" applyFill="1" applyAlignment="1">
      <alignment horizontal="center"/>
    </xf>
    <xf numFmtId="0" fontId="3" fillId="3" borderId="0" xfId="0" applyFont="1" applyFill="1" applyAlignment="1">
      <alignment vertical="center" wrapText="1"/>
    </xf>
    <xf numFmtId="0" fontId="2" fillId="6" borderId="0" xfId="0" applyFont="1" applyFill="1" applyAlignment="1">
      <alignment vertical="center"/>
    </xf>
    <xf numFmtId="0" fontId="4" fillId="3" borderId="0" xfId="0" applyFont="1" applyFill="1"/>
    <xf numFmtId="1" fontId="2" fillId="3" borderId="0" xfId="0" applyNumberFormat="1" applyFont="1" applyFill="1"/>
    <xf numFmtId="1" fontId="3" fillId="3" borderId="0" xfId="0" applyNumberFormat="1" applyFont="1" applyFill="1"/>
    <xf numFmtId="1" fontId="4" fillId="3" borderId="0" xfId="0" applyNumberFormat="1" applyFont="1" applyFill="1"/>
    <xf numFmtId="0" fontId="2" fillId="6" borderId="12" xfId="0" applyFont="1" applyFill="1" applyBorder="1"/>
    <xf numFmtId="0" fontId="2" fillId="6" borderId="13" xfId="0" applyFont="1" applyFill="1" applyBorder="1"/>
    <xf numFmtId="164" fontId="3" fillId="3" borderId="0" xfId="2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164" fontId="3" fillId="17" borderId="0" xfId="2" applyFont="1" applyFill="1" applyAlignment="1">
      <alignment horizontal="right" vertical="center"/>
    </xf>
    <xf numFmtId="164" fontId="3" fillId="3" borderId="0" xfId="2" applyFont="1" applyFill="1" applyAlignment="1">
      <alignment horizontal="right" vertical="center"/>
    </xf>
    <xf numFmtId="164" fontId="2" fillId="0" borderId="0" xfId="2" applyFont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1" fontId="3" fillId="17" borderId="0" xfId="0" applyNumberFormat="1" applyFont="1" applyFill="1" applyAlignment="1">
      <alignment horizontal="center"/>
    </xf>
    <xf numFmtId="0" fontId="12" fillId="0" borderId="0" xfId="1" applyFont="1" applyAlignment="1">
      <alignment horizontal="left" vertical="center" wrapText="1" shrinkToFit="1"/>
    </xf>
    <xf numFmtId="164" fontId="8" fillId="3" borderId="0" xfId="2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12" fillId="0" borderId="0" xfId="1" applyFont="1" applyAlignment="1">
      <alignment vertical="center" wrapText="1" shrinkToFit="1"/>
    </xf>
    <xf numFmtId="0" fontId="2" fillId="6" borderId="0" xfId="0" applyFont="1" applyFill="1" applyAlignment="1">
      <alignment horizontal="right" vertical="center"/>
    </xf>
    <xf numFmtId="164" fontId="2" fillId="6" borderId="0" xfId="2" applyFont="1" applyFill="1" applyAlignment="1">
      <alignment horizontal="right" vertical="center"/>
    </xf>
    <xf numFmtId="0" fontId="2" fillId="6" borderId="0" xfId="0" applyFont="1" applyFill="1" applyAlignment="1">
      <alignment horizontal="right" vertical="center" wrapText="1"/>
    </xf>
    <xf numFmtId="1" fontId="2" fillId="2" borderId="0" xfId="0" applyNumberFormat="1" applyFont="1" applyFill="1"/>
    <xf numFmtId="2" fontId="2" fillId="2" borderId="0" xfId="0" applyNumberFormat="1" applyFont="1" applyFill="1"/>
    <xf numFmtId="4" fontId="2" fillId="2" borderId="0" xfId="0" applyNumberFormat="1" applyFont="1" applyFill="1"/>
    <xf numFmtId="1" fontId="4" fillId="2" borderId="0" xfId="0" applyNumberFormat="1" applyFont="1" applyFill="1"/>
    <xf numFmtId="3" fontId="2" fillId="2" borderId="0" xfId="0" applyNumberFormat="1" applyFont="1" applyFill="1"/>
    <xf numFmtId="0" fontId="4" fillId="2" borderId="0" xfId="0" applyFont="1" applyFill="1"/>
    <xf numFmtId="3" fontId="2" fillId="2" borderId="0" xfId="0" applyNumberFormat="1" applyFont="1" applyFill="1" applyBorder="1"/>
    <xf numFmtId="0" fontId="2" fillId="2" borderId="6" xfId="0" applyFont="1" applyFill="1" applyBorder="1"/>
    <xf numFmtId="0" fontId="3" fillId="1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vertical="center"/>
    </xf>
    <xf numFmtId="3" fontId="2" fillId="19" borderId="0" xfId="0" applyNumberFormat="1" applyFont="1" applyFill="1"/>
    <xf numFmtId="4" fontId="2" fillId="19" borderId="0" xfId="0" applyNumberFormat="1" applyFont="1" applyFill="1" applyBorder="1"/>
    <xf numFmtId="0" fontId="2" fillId="19" borderId="23" xfId="0" applyFont="1" applyFill="1" applyBorder="1" applyAlignment="1">
      <alignment horizontal="left" vertical="center"/>
    </xf>
    <xf numFmtId="4" fontId="2" fillId="19" borderId="22" xfId="0" applyNumberFormat="1" applyFont="1" applyFill="1" applyBorder="1"/>
    <xf numFmtId="0" fontId="2" fillId="19" borderId="6" xfId="0" applyFont="1" applyFill="1" applyBorder="1" applyAlignment="1">
      <alignment horizontal="left" vertical="center"/>
    </xf>
    <xf numFmtId="4" fontId="2" fillId="19" borderId="8" xfId="0" applyNumberFormat="1" applyFont="1" applyFill="1" applyBorder="1"/>
    <xf numFmtId="0" fontId="3" fillId="18" borderId="0" xfId="0" applyFont="1" applyFill="1" applyBorder="1" applyAlignment="1">
      <alignment horizontal="center"/>
    </xf>
    <xf numFmtId="0" fontId="2" fillId="19" borderId="6" xfId="0" applyFont="1" applyFill="1" applyBorder="1" applyAlignment="1">
      <alignment vertical="center"/>
    </xf>
    <xf numFmtId="0" fontId="2" fillId="19" borderId="7" xfId="0" applyFont="1" applyFill="1" applyBorder="1" applyAlignment="1">
      <alignment vertical="center"/>
    </xf>
    <xf numFmtId="4" fontId="2" fillId="19" borderId="24" xfId="0" applyNumberFormat="1" applyFont="1" applyFill="1" applyBorder="1"/>
    <xf numFmtId="3" fontId="2" fillId="2" borderId="3" xfId="0" applyNumberFormat="1" applyFont="1" applyFill="1" applyBorder="1"/>
    <xf numFmtId="3" fontId="3" fillId="2" borderId="3" xfId="0" applyNumberFormat="1" applyFont="1" applyFill="1" applyBorder="1"/>
    <xf numFmtId="3" fontId="2" fillId="2" borderId="4" xfId="0" applyNumberFormat="1" applyFont="1" applyFill="1" applyBorder="1"/>
    <xf numFmtId="0" fontId="2" fillId="2" borderId="23" xfId="0" applyFont="1" applyFill="1" applyBorder="1"/>
    <xf numFmtId="0" fontId="3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11" fillId="11" borderId="0" xfId="0" applyFont="1" applyFill="1" applyAlignment="1"/>
    <xf numFmtId="0" fontId="10" fillId="10" borderId="19" xfId="0" applyFont="1" applyFill="1" applyBorder="1" applyAlignment="1">
      <alignment horizontal="center"/>
    </xf>
    <xf numFmtId="0" fontId="10" fillId="10" borderId="20" xfId="0" applyFont="1" applyFill="1" applyBorder="1" applyAlignment="1">
      <alignment horizontal="center"/>
    </xf>
    <xf numFmtId="0" fontId="10" fillId="10" borderId="21" xfId="0" applyFont="1" applyFill="1" applyBorder="1" applyAlignment="1">
      <alignment horizontal="center"/>
    </xf>
    <xf numFmtId="0" fontId="11" fillId="16" borderId="0" xfId="0" applyFont="1" applyFill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12" borderId="25" xfId="0" applyFont="1" applyFill="1" applyBorder="1" applyAlignment="1">
      <alignment horizontal="center"/>
    </xf>
    <xf numFmtId="0" fontId="3" fillId="12" borderId="26" xfId="0" applyFont="1" applyFill="1" applyBorder="1" applyAlignment="1">
      <alignment horizontal="center"/>
    </xf>
    <xf numFmtId="0" fontId="3" fillId="18" borderId="9" xfId="0" applyFont="1" applyFill="1" applyBorder="1" applyAlignment="1">
      <alignment horizontal="center"/>
    </xf>
    <xf numFmtId="0" fontId="3" fillId="18" borderId="1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F2978"/>
      <color rgb="FF00D29A"/>
      <color rgb="FF5137E0"/>
      <color rgb="FF6A49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Typical</a:t>
            </a:r>
            <a:r>
              <a:rPr lang="en-US" sz="1200" baseline="0"/>
              <a:t> distribution of trips over the day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Proportion of trips</c:v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Model_TripTimeDistributions!$A$3:$A$26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Model_TripTimeDistributions!$D$3:$D$26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1.5</c:v>
                </c:pt>
                <c:pt idx="3">
                  <c:v>2</c:v>
                </c:pt>
                <c:pt idx="4">
                  <c:v>3.5</c:v>
                </c:pt>
                <c:pt idx="5">
                  <c:v>4.5</c:v>
                </c:pt>
                <c:pt idx="6">
                  <c:v>6</c:v>
                </c:pt>
                <c:pt idx="7">
                  <c:v>7.5</c:v>
                </c:pt>
                <c:pt idx="8">
                  <c:v>7</c:v>
                </c:pt>
                <c:pt idx="9">
                  <c:v>5.5</c:v>
                </c:pt>
                <c:pt idx="10">
                  <c:v>4.5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4.5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  <c:pt idx="18">
                  <c:v>5</c:v>
                </c:pt>
                <c:pt idx="19">
                  <c:v>4.5</c:v>
                </c:pt>
                <c:pt idx="20">
                  <c:v>3.5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0-F845-9331-CD966074C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929600"/>
        <c:axId val="972628912"/>
      </c:barChart>
      <c:catAx>
        <c:axId val="972929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Hour</a:t>
                </a:r>
                <a:r>
                  <a:rPr lang="en-US" baseline="0"/>
                  <a:t> of day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2628912"/>
        <c:crosses val="autoZero"/>
        <c:auto val="1"/>
        <c:lblAlgn val="ctr"/>
        <c:lblOffset val="100"/>
        <c:noMultiLvlLbl val="1"/>
      </c:catAx>
      <c:valAx>
        <c:axId val="972628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292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50"/>
              <a:t>Typical</a:t>
            </a:r>
            <a:r>
              <a:rPr lang="en-US" sz="1150" baseline="0"/>
              <a:t> distribution of subu</a:t>
            </a:r>
            <a:r>
              <a:rPr lang="en-US" sz="1150"/>
              <a:t>rban trip</a:t>
            </a:r>
            <a:r>
              <a:rPr lang="en-US" sz="1150" baseline="0"/>
              <a:t> distances</a:t>
            </a:r>
            <a:endParaRPr lang="en-US" sz="115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Proportion of trips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Model_TripDistanceDistributions!$E$3:$E$24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cat>
          <c:val>
            <c:numRef>
              <c:f>Model_TripDistanceDistributions!$F$3:$F$24</c:f>
              <c:numCache>
                <c:formatCode>General</c:formatCode>
                <c:ptCount val="22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8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2.6</c:v>
                </c:pt>
                <c:pt idx="13">
                  <c:v>2</c:v>
                </c:pt>
                <c:pt idx="14">
                  <c:v>1.8</c:v>
                </c:pt>
                <c:pt idx="15">
                  <c:v>1.7</c:v>
                </c:pt>
                <c:pt idx="16">
                  <c:v>1.6</c:v>
                </c:pt>
                <c:pt idx="17">
                  <c:v>1.5</c:v>
                </c:pt>
                <c:pt idx="18">
                  <c:v>1.4</c:v>
                </c:pt>
                <c:pt idx="19">
                  <c:v>1.1000000000000001</c:v>
                </c:pt>
                <c:pt idx="20">
                  <c:v>1</c:v>
                </c:pt>
                <c:pt idx="21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E-DF43-935A-AEACB6D16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929600"/>
        <c:axId val="972628912"/>
      </c:barChart>
      <c:catAx>
        <c:axId val="972929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Trip</a:t>
                </a:r>
                <a:r>
                  <a:rPr lang="en-US" baseline="0"/>
                  <a:t> distance (km)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2628912"/>
        <c:crosses val="autoZero"/>
        <c:auto val="1"/>
        <c:lblAlgn val="ctr"/>
        <c:lblOffset val="100"/>
        <c:noMultiLvlLbl val="1"/>
      </c:catAx>
      <c:valAx>
        <c:axId val="972628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292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50"/>
              <a:t>Typical</a:t>
            </a:r>
            <a:r>
              <a:rPr lang="en-US" sz="1150" baseline="0"/>
              <a:t> distribution of rural </a:t>
            </a:r>
            <a:r>
              <a:rPr lang="en-US" sz="1150"/>
              <a:t>trip</a:t>
            </a:r>
            <a:r>
              <a:rPr lang="en-US" sz="1150" baseline="0"/>
              <a:t> distances</a:t>
            </a:r>
            <a:endParaRPr lang="en-US" sz="115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Proportion of trips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Model_TripDistanceDistributions!$I$3:$I$24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cat>
          <c:val>
            <c:numRef>
              <c:f>Model_TripDistanceDistributions!$J$3:$J$24</c:f>
              <c:numCache>
                <c:formatCode>General</c:formatCode>
                <c:ptCount val="2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10</c:v>
                </c:pt>
                <c:pt idx="7">
                  <c:v>9.5</c:v>
                </c:pt>
                <c:pt idx="8">
                  <c:v>8.1999999999999993</c:v>
                </c:pt>
                <c:pt idx="9">
                  <c:v>7.1</c:v>
                </c:pt>
                <c:pt idx="10">
                  <c:v>5.9</c:v>
                </c:pt>
                <c:pt idx="11">
                  <c:v>5</c:v>
                </c:pt>
                <c:pt idx="12">
                  <c:v>4.2</c:v>
                </c:pt>
                <c:pt idx="13">
                  <c:v>3.1</c:v>
                </c:pt>
                <c:pt idx="14">
                  <c:v>2.2000000000000002</c:v>
                </c:pt>
                <c:pt idx="15">
                  <c:v>2</c:v>
                </c:pt>
                <c:pt idx="16">
                  <c:v>1.8</c:v>
                </c:pt>
                <c:pt idx="17">
                  <c:v>1.7</c:v>
                </c:pt>
                <c:pt idx="18">
                  <c:v>1.6</c:v>
                </c:pt>
                <c:pt idx="19">
                  <c:v>1.5</c:v>
                </c:pt>
                <c:pt idx="20">
                  <c:v>1.4</c:v>
                </c:pt>
                <c:pt idx="21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7-B94D-B206-A0D9394B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929600"/>
        <c:axId val="972628912"/>
      </c:barChart>
      <c:catAx>
        <c:axId val="972929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Trip</a:t>
                </a:r>
                <a:r>
                  <a:rPr lang="en-US" baseline="0"/>
                  <a:t> distance (km)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2628912"/>
        <c:crosses val="autoZero"/>
        <c:auto val="1"/>
        <c:lblAlgn val="ctr"/>
        <c:lblOffset val="100"/>
        <c:noMultiLvlLbl val="1"/>
      </c:catAx>
      <c:valAx>
        <c:axId val="972628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292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Typical</a:t>
            </a:r>
            <a:r>
              <a:rPr lang="en-US" sz="1200" baseline="0"/>
              <a:t> distribution of trips over the day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Proportion of trips</c:v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Model_TripTimeDistributions!$A$3:$A$26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Model_TripTimeDistributions!$D$3:$D$26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1.5</c:v>
                </c:pt>
                <c:pt idx="3">
                  <c:v>2</c:v>
                </c:pt>
                <c:pt idx="4">
                  <c:v>3.5</c:v>
                </c:pt>
                <c:pt idx="5">
                  <c:v>4.5</c:v>
                </c:pt>
                <c:pt idx="6">
                  <c:v>6</c:v>
                </c:pt>
                <c:pt idx="7">
                  <c:v>7.5</c:v>
                </c:pt>
                <c:pt idx="8">
                  <c:v>7</c:v>
                </c:pt>
                <c:pt idx="9">
                  <c:v>5.5</c:v>
                </c:pt>
                <c:pt idx="10">
                  <c:v>4.5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4.5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  <c:pt idx="18">
                  <c:v>5</c:v>
                </c:pt>
                <c:pt idx="19">
                  <c:v>4.5</c:v>
                </c:pt>
                <c:pt idx="20">
                  <c:v>3.5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0-EB48-AEC4-427C23441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929600"/>
        <c:axId val="972628912"/>
      </c:barChart>
      <c:catAx>
        <c:axId val="972929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Hour</a:t>
                </a:r>
                <a:r>
                  <a:rPr lang="en-US" baseline="0"/>
                  <a:t> of day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2628912"/>
        <c:crosses val="autoZero"/>
        <c:auto val="1"/>
        <c:lblAlgn val="ctr"/>
        <c:lblOffset val="100"/>
        <c:noMultiLvlLbl val="1"/>
      </c:catAx>
      <c:valAx>
        <c:axId val="972628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292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Annual greenhouse</a:t>
            </a:r>
            <a:r>
              <a:rPr lang="en-US" sz="1200" baseline="0"/>
              <a:t> gas (GHG) emissions per mode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75065616797901"/>
          <c:y val="0.15017777777777777"/>
          <c:w val="0.74369378827646548"/>
          <c:h val="0.68991111111111114"/>
        </c:manualLayout>
      </c:layout>
      <c:barChart>
        <c:barDir val="col"/>
        <c:grouping val="stacked"/>
        <c:varyColors val="0"/>
        <c:ser>
          <c:idx val="2"/>
          <c:order val="0"/>
          <c:tx>
            <c:v>Auto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C-FD4B-9B4A-98580CF71439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Model_CostBenefits!$B$26:$C$26</c:f>
              <c:strCache>
                <c:ptCount val="2"/>
                <c:pt idx="0">
                  <c:v>Before DRT</c:v>
                </c:pt>
                <c:pt idx="1">
                  <c:v>After DRT</c:v>
                </c:pt>
              </c:strCache>
            </c:strRef>
          </c:cat>
          <c:val>
            <c:numRef>
              <c:f>Model_CostBenefits!$B$29:$C$29</c:f>
              <c:numCache>
                <c:formatCode>General</c:formatCode>
                <c:ptCount val="2"/>
                <c:pt idx="0">
                  <c:v>88121.64705882351</c:v>
                </c:pt>
                <c:pt idx="1">
                  <c:v>88082.804995058832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1C-FD4B-9B4A-98580CF71439}"/>
            </c:ext>
          </c:extLst>
        </c:ser>
        <c:ser>
          <c:idx val="0"/>
          <c:order val="1"/>
          <c:tx>
            <c:v>Mass Transit</c:v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Model_CostBenefits!$B$26:$C$26</c:f>
              <c:strCache>
                <c:ptCount val="2"/>
                <c:pt idx="0">
                  <c:v>Before DRT</c:v>
                </c:pt>
                <c:pt idx="1">
                  <c:v>After DRT</c:v>
                </c:pt>
              </c:strCache>
            </c:strRef>
          </c:cat>
          <c:val>
            <c:numRef>
              <c:f>Model_CostBenefits!$B$27:$C$27</c:f>
              <c:numCache>
                <c:formatCode>General</c:formatCode>
                <c:ptCount val="2"/>
                <c:pt idx="0">
                  <c:v>23025.599999999991</c:v>
                </c:pt>
                <c:pt idx="1">
                  <c:v>23015.443151999996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1C-FD4B-9B4A-98580CF71439}"/>
            </c:ext>
          </c:extLst>
        </c:ser>
        <c:ser>
          <c:idx val="1"/>
          <c:order val="2"/>
          <c:tx>
            <c:v>DRT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Model_CostBenefits!$B$26:$C$26</c:f>
              <c:strCache>
                <c:ptCount val="2"/>
                <c:pt idx="0">
                  <c:v>Before DRT</c:v>
                </c:pt>
                <c:pt idx="1">
                  <c:v>After DRT</c:v>
                </c:pt>
              </c:strCache>
            </c:strRef>
          </c:cat>
          <c:val>
            <c:numRef>
              <c:f>Model_CostBenefits!$B$28:$C$28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267.786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1C-FD4B-9B4A-98580CF71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88"/>
        <c:axId val="1120153359"/>
        <c:axId val="1120155007"/>
      </c:barChart>
      <c:catAx>
        <c:axId val="112015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20155007"/>
        <c:crosses val="autoZero"/>
        <c:auto val="1"/>
        <c:lblAlgn val="ctr"/>
        <c:lblOffset val="100"/>
        <c:noMultiLvlLbl val="0"/>
      </c:catAx>
      <c:valAx>
        <c:axId val="112015500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Annual</a:t>
                </a:r>
                <a:r>
                  <a:rPr lang="en-US" baseline="0"/>
                  <a:t> emissions (,000 tonnes CO2e)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6531058617672793E-3"/>
              <c:y val="9.35111111111111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20153359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811526684164479"/>
          <c:y val="0.58806684164479439"/>
          <c:w val="0.20355139982502188"/>
          <c:h val="0.2273774278215223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Daily DRT trips by vehicle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55331395263904"/>
          <c:y val="0.15643518518518518"/>
          <c:w val="0.72231721034870644"/>
          <c:h val="0.74180555555555561"/>
        </c:manualLayout>
      </c:layout>
      <c:barChart>
        <c:barDir val="col"/>
        <c:grouping val="stacked"/>
        <c:varyColors val="0"/>
        <c:ser>
          <c:idx val="0"/>
          <c:order val="0"/>
          <c:tx>
            <c:v>Dedicated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Daily trips</c:v>
              </c:pt>
            </c:strLit>
          </c:cat>
          <c:val>
            <c:numRef>
              <c:f>Dashboard!$C$4</c:f>
              <c:numCache>
                <c:formatCode>#,##0</c:formatCode>
                <c:ptCount val="1"/>
                <c:pt idx="0">
                  <c:v>198.35999999999999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0-C941-A04C-2D62AC54A535}"/>
            </c:ext>
          </c:extLst>
        </c:ser>
        <c:ser>
          <c:idx val="1"/>
          <c:order val="1"/>
          <c:tx>
            <c:v>Non-dedicated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Daily trips</c:v>
              </c:pt>
            </c:strLit>
          </c:cat>
          <c:val>
            <c:numRef>
              <c:f>Dashboard!$C$5</c:f>
              <c:numCache>
                <c:formatCode>#,##0</c:formatCode>
                <c:ptCount val="1"/>
                <c:pt idx="0">
                  <c:v>49.589999999999996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0-C941-A04C-2D62AC54A53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43207343"/>
        <c:axId val="1519159503"/>
      </c:barChart>
      <c:catAx>
        <c:axId val="1243207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19159503"/>
        <c:crosses val="autoZero"/>
        <c:auto val="1"/>
        <c:lblAlgn val="ctr"/>
        <c:lblOffset val="100"/>
        <c:noMultiLvlLbl val="0"/>
      </c:catAx>
      <c:valAx>
        <c:axId val="1519159503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432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615809387462934"/>
          <c:y val="0.24280293088363955"/>
          <c:w val="0.30065989447528169"/>
          <c:h val="0.160709899697765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Typical</a:t>
            </a:r>
            <a:r>
              <a:rPr lang="en-US" sz="1200" baseline="0"/>
              <a:t> distribution of </a:t>
            </a:r>
            <a:r>
              <a:rPr lang="en-US" sz="1200"/>
              <a:t>trip</a:t>
            </a:r>
            <a:r>
              <a:rPr lang="en-US" sz="1200" baseline="0"/>
              <a:t> distances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Proportion of trips</c:v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Model_TripDistanceDistributions!$P$3:$P$24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cat>
          <c:val>
            <c:numRef>
              <c:f>Model_TripDistanceDistributions!$Q$3:$Q$24</c:f>
              <c:numCache>
                <c:formatCode>General</c:formatCode>
                <c:ptCount val="2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10</c:v>
                </c:pt>
                <c:pt idx="7">
                  <c:v>9.5</c:v>
                </c:pt>
                <c:pt idx="8">
                  <c:v>8.1999999999999993</c:v>
                </c:pt>
                <c:pt idx="9">
                  <c:v>7.1</c:v>
                </c:pt>
                <c:pt idx="10">
                  <c:v>5.9</c:v>
                </c:pt>
                <c:pt idx="11">
                  <c:v>5</c:v>
                </c:pt>
                <c:pt idx="12">
                  <c:v>4.2</c:v>
                </c:pt>
                <c:pt idx="13">
                  <c:v>3.1</c:v>
                </c:pt>
                <c:pt idx="14">
                  <c:v>2.2000000000000002</c:v>
                </c:pt>
                <c:pt idx="15">
                  <c:v>2</c:v>
                </c:pt>
                <c:pt idx="16">
                  <c:v>1.8</c:v>
                </c:pt>
                <c:pt idx="17">
                  <c:v>1.7</c:v>
                </c:pt>
                <c:pt idx="18">
                  <c:v>1.6</c:v>
                </c:pt>
                <c:pt idx="19">
                  <c:v>1.5</c:v>
                </c:pt>
                <c:pt idx="20">
                  <c:v>1.4</c:v>
                </c:pt>
                <c:pt idx="21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4-064B-8358-F8E3493A2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929600"/>
        <c:axId val="972628912"/>
      </c:barChart>
      <c:catAx>
        <c:axId val="972929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Trip</a:t>
                </a:r>
                <a:r>
                  <a:rPr lang="en-US" baseline="0"/>
                  <a:t> distance (km)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2628912"/>
        <c:crosses val="autoZero"/>
        <c:auto val="1"/>
        <c:lblAlgn val="ctr"/>
        <c:lblOffset val="100"/>
        <c:noMultiLvlLbl val="1"/>
      </c:catAx>
      <c:valAx>
        <c:axId val="972628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292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DRT</a:t>
            </a:r>
            <a:r>
              <a:rPr lang="en-US" sz="1200" baseline="0"/>
              <a:t> vs mass transit: Efficiency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55331395263904"/>
          <c:y val="0.15643518518518518"/>
          <c:w val="0.72231721034870644"/>
          <c:h val="0.74180555555555561"/>
        </c:manualLayout>
      </c:layout>
      <c:barChart>
        <c:barDir val="col"/>
        <c:grouping val="clustered"/>
        <c:varyColors val="0"/>
        <c:ser>
          <c:idx val="0"/>
          <c:order val="0"/>
          <c:tx>
            <c:v>DRT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Efficiency (pax per vehicle hour)</c:v>
              </c:pt>
            </c:strLit>
          </c:cat>
          <c:val>
            <c:numRef>
              <c:f>Dashboard!$C$23</c:f>
              <c:numCache>
                <c:formatCode>#\ ##0.0</c:formatCode>
                <c:ptCount val="1"/>
                <c:pt idx="0">
                  <c:v>9.9179999999999993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0-C941-A04C-2D62AC54A535}"/>
            </c:ext>
          </c:extLst>
        </c:ser>
        <c:ser>
          <c:idx val="1"/>
          <c:order val="1"/>
          <c:tx>
            <c:v>Mass Transit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2AB-1C45-911D-88AA009938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Efficiency (pax per vehicle hour)</c:v>
              </c:pt>
            </c:strLit>
          </c:cat>
          <c:val>
            <c:numRef>
              <c:f>Dashboard!$C$27</c:f>
              <c:numCache>
                <c:formatCode>#\ ##0.0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0-C941-A04C-2D62AC54A53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1243207343"/>
        <c:axId val="1519159503"/>
      </c:barChart>
      <c:catAx>
        <c:axId val="1243207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19159503"/>
        <c:crosses val="autoZero"/>
        <c:auto val="1"/>
        <c:lblAlgn val="ctr"/>
        <c:lblOffset val="100"/>
        <c:noMultiLvlLbl val="0"/>
      </c:catAx>
      <c:valAx>
        <c:axId val="1519159503"/>
        <c:scaling>
          <c:orientation val="minMax"/>
          <c:min val="0"/>
        </c:scaling>
        <c:delete val="0"/>
        <c:axPos val="l"/>
        <c:numFmt formatCode="#\ ##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432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697442040524152"/>
          <c:y val="0.24280300242843475"/>
          <c:w val="0.27190539494251531"/>
          <c:h val="0.16203103455757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DRT</a:t>
            </a:r>
            <a:r>
              <a:rPr lang="en-US" sz="1200" baseline="0"/>
              <a:t> vs mass transit: Cost per trip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55331395263904"/>
          <c:y val="0.15643518518518518"/>
          <c:w val="0.72231721034870644"/>
          <c:h val="0.74180555555555561"/>
        </c:manualLayout>
      </c:layout>
      <c:barChart>
        <c:barDir val="col"/>
        <c:grouping val="clustered"/>
        <c:varyColors val="0"/>
        <c:ser>
          <c:idx val="0"/>
          <c:order val="0"/>
          <c:tx>
            <c:v>DRT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 per trip (€)</c:v>
              </c:pt>
            </c:strLit>
          </c:cat>
          <c:val>
            <c:numRef>
              <c:f>Model_CostBenefits!$C$24</c:f>
              <c:numCache>
                <c:formatCode>General</c:formatCode>
                <c:ptCount val="1"/>
                <c:pt idx="0">
                  <c:v>5.0347247428917123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0-C941-A04C-2D62AC54A535}"/>
            </c:ext>
          </c:extLst>
        </c:ser>
        <c:ser>
          <c:idx val="1"/>
          <c:order val="1"/>
          <c:tx>
            <c:v>Mass Transit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2AB-1C45-911D-88AA0099387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 per trip (€)</c:v>
              </c:pt>
            </c:strLit>
          </c:cat>
          <c:val>
            <c:numRef>
              <c:f>Model_CostBenefits!$C$23</c:f>
              <c:numCache>
                <c:formatCode>General</c:formatCode>
                <c:ptCount val="1"/>
                <c:pt idx="0">
                  <c:v>8.5037935993247391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0-C941-A04C-2D62AC54A53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1243207343"/>
        <c:axId val="1519159503"/>
      </c:barChart>
      <c:catAx>
        <c:axId val="1243207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19159503"/>
        <c:crosses val="autoZero"/>
        <c:auto val="1"/>
        <c:lblAlgn val="ctr"/>
        <c:lblOffset val="100"/>
        <c:noMultiLvlLbl val="0"/>
      </c:catAx>
      <c:valAx>
        <c:axId val="1519159503"/>
        <c:scaling>
          <c:orientation val="minMax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432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697442040524152"/>
          <c:y val="0.24280300242843475"/>
          <c:w val="0.27190539494251531"/>
          <c:h val="0.15937670174405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DRT:</a:t>
            </a:r>
            <a:r>
              <a:rPr lang="en-US" sz="1200" baseline="0"/>
              <a:t> Wait times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55331395263904"/>
          <c:y val="0.15643518518518518"/>
          <c:w val="0.72231721034870644"/>
          <c:h val="0.74180555555555561"/>
        </c:manualLayout>
      </c:layout>
      <c:barChart>
        <c:barDir val="col"/>
        <c:grouping val="clustered"/>
        <c:varyColors val="0"/>
        <c:ser>
          <c:idx val="0"/>
          <c:order val="0"/>
          <c:tx>
            <c:v>Median Wait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Wait times (mins)</c:v>
              </c:pt>
            </c:strLit>
          </c:cat>
          <c:val>
            <c:numRef>
              <c:f>Dashboard!$C$24</c:f>
              <c:numCache>
                <c:formatCode>#\ ##0.0</c:formatCode>
                <c:ptCount val="1"/>
                <c:pt idx="0">
                  <c:v>21.883272133333332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0-C941-A04C-2D62AC54A535}"/>
            </c:ext>
          </c:extLst>
        </c:ser>
        <c:ser>
          <c:idx val="1"/>
          <c:order val="1"/>
          <c:tx>
            <c:v>Max Wait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Wait times (mins)</c:v>
              </c:pt>
            </c:strLit>
          </c:cat>
          <c:val>
            <c:numRef>
              <c:f>Dashboard!$C$25</c:f>
              <c:numCache>
                <c:formatCode>#\ ##0.0</c:formatCode>
                <c:ptCount val="1"/>
                <c:pt idx="0">
                  <c:v>96.975347333333332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0-C941-A04C-2D62AC54A53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1243207343"/>
        <c:axId val="1519159503"/>
      </c:barChart>
      <c:catAx>
        <c:axId val="1243207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19159503"/>
        <c:crosses val="autoZero"/>
        <c:auto val="1"/>
        <c:lblAlgn val="ctr"/>
        <c:lblOffset val="100"/>
        <c:noMultiLvlLbl val="0"/>
      </c:catAx>
      <c:valAx>
        <c:axId val="1519159503"/>
        <c:scaling>
          <c:orientation val="minMax"/>
          <c:min val="0"/>
        </c:scaling>
        <c:delete val="0"/>
        <c:axPos val="l"/>
        <c:numFmt formatCode="#\ ##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432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697442040524152"/>
          <c:y val="0.24280300242843475"/>
          <c:w val="0.27190539494251531"/>
          <c:h val="0.15937670174405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Return</a:t>
            </a:r>
            <a:r>
              <a:rPr lang="en-US" sz="1200" baseline="0"/>
              <a:t> on Investment (ROI)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55331395263904"/>
          <c:y val="0.15643518518518518"/>
          <c:w val="0.72231721034870644"/>
          <c:h val="0.74180555555555561"/>
        </c:manualLayout>
      </c:layout>
      <c:barChart>
        <c:barDir val="col"/>
        <c:grouping val="stacked"/>
        <c:varyColors val="0"/>
        <c:ser>
          <c:idx val="0"/>
          <c:order val="0"/>
          <c:tx>
            <c:v>Agency ROI</c:v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ROI (return per €1 spent)</c:v>
              </c:pt>
            </c:strLit>
          </c:cat>
          <c:val>
            <c:numRef>
              <c:f>Dashboard!$C$53</c:f>
              <c:numCache>
                <c:formatCode>#,##0.00</c:formatCode>
                <c:ptCount val="1"/>
                <c:pt idx="0">
                  <c:v>0.39593332775873297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0-C941-A04C-2D62AC54A535}"/>
            </c:ext>
          </c:extLst>
        </c:ser>
        <c:ser>
          <c:idx val="1"/>
          <c:order val="1"/>
          <c:tx>
            <c:v>EROI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ROI (return per €1 spent)</c:v>
              </c:pt>
            </c:strLit>
          </c:cat>
          <c:val>
            <c:numRef>
              <c:f>Dashboard!$C$54</c:f>
              <c:numCache>
                <c:formatCode>#,##0.00</c:formatCode>
                <c:ptCount val="1"/>
                <c:pt idx="0">
                  <c:v>6.0982548216219554E-2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0-C941-A04C-2D62AC54A53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43207343"/>
        <c:axId val="1519159503"/>
      </c:barChart>
      <c:catAx>
        <c:axId val="1243207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19159503"/>
        <c:crosses val="autoZero"/>
        <c:auto val="1"/>
        <c:lblAlgn val="ctr"/>
        <c:lblOffset val="100"/>
        <c:noMultiLvlLbl val="0"/>
      </c:catAx>
      <c:valAx>
        <c:axId val="1519159503"/>
        <c:scaling>
          <c:orientation val="minMax"/>
          <c:min val="0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432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36248415049868"/>
          <c:y val="0.24280293088363955"/>
          <c:w val="0.31182035499378291"/>
          <c:h val="0.143127249967901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Typical</a:t>
            </a:r>
            <a:r>
              <a:rPr lang="en-US" sz="1200" baseline="0"/>
              <a:t> distribution of u</a:t>
            </a:r>
            <a:r>
              <a:rPr lang="en-US" sz="1200"/>
              <a:t>rban trip</a:t>
            </a:r>
            <a:r>
              <a:rPr lang="en-US" sz="1200" baseline="0"/>
              <a:t> distances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Proportion of trips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Model_TripDistanceDistributions!$A$3:$A$24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cat>
          <c:val>
            <c:numRef>
              <c:f>Model_TripDistanceDistributions!$B$3:$B$24</c:f>
              <c:numCache>
                <c:formatCode>General</c:formatCode>
                <c:ptCount val="22"/>
                <c:pt idx="0">
                  <c:v>0</c:v>
                </c:pt>
                <c:pt idx="1">
                  <c:v>11</c:v>
                </c:pt>
                <c:pt idx="2">
                  <c:v>15</c:v>
                </c:pt>
                <c:pt idx="3">
                  <c:v>14</c:v>
                </c:pt>
                <c:pt idx="4">
                  <c:v>11</c:v>
                </c:pt>
                <c:pt idx="5">
                  <c:v>8</c:v>
                </c:pt>
                <c:pt idx="6">
                  <c:v>5.8</c:v>
                </c:pt>
                <c:pt idx="7">
                  <c:v>4.4000000000000004</c:v>
                </c:pt>
                <c:pt idx="8">
                  <c:v>3.6</c:v>
                </c:pt>
                <c:pt idx="9">
                  <c:v>3.2</c:v>
                </c:pt>
                <c:pt idx="10">
                  <c:v>2.9</c:v>
                </c:pt>
                <c:pt idx="11">
                  <c:v>2.5</c:v>
                </c:pt>
                <c:pt idx="12">
                  <c:v>2.2000000000000002</c:v>
                </c:pt>
                <c:pt idx="13">
                  <c:v>2</c:v>
                </c:pt>
                <c:pt idx="14">
                  <c:v>1.8</c:v>
                </c:pt>
                <c:pt idx="15">
                  <c:v>1.6</c:v>
                </c:pt>
                <c:pt idx="16">
                  <c:v>1.4</c:v>
                </c:pt>
                <c:pt idx="17">
                  <c:v>1.3</c:v>
                </c:pt>
                <c:pt idx="18">
                  <c:v>1.2</c:v>
                </c:pt>
                <c:pt idx="19">
                  <c:v>1.1000000000000001</c:v>
                </c:pt>
                <c:pt idx="20">
                  <c:v>1</c:v>
                </c:pt>
                <c:pt idx="2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8-2440-87AC-224FF17F3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929600"/>
        <c:axId val="972628912"/>
      </c:barChart>
      <c:catAx>
        <c:axId val="972929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Trip</a:t>
                </a:r>
                <a:r>
                  <a:rPr lang="en-US" baseline="0"/>
                  <a:t> distance (km)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2628912"/>
        <c:crosses val="autoZero"/>
        <c:auto val="1"/>
        <c:lblAlgn val="ctr"/>
        <c:lblOffset val="100"/>
        <c:noMultiLvlLbl val="1"/>
      </c:catAx>
      <c:valAx>
        <c:axId val="972628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292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_xlchart.v5.0</cx:f>
      </cx:strDim>
      <cx:numDim type="val">
        <cx:f>_xlchart.v5.1</cx:f>
      </cx:numDim>
    </cx:data>
  </cx:chartData>
  <cx:chart>
    <cx:title pos="t" align="ctr" overlay="0">
      <cx:tx>
        <cx:txData>
          <cx:v>Cost, benefits and net savings for agency (annual)</cx:v>
        </cx:txData>
      </cx:tx>
      <cx:txPr>
        <a:bodyPr vertOverflow="overflow" horzOverflow="overflow" wrap="square" lIns="0" tIns="0" rIns="0" bIns="0"/>
        <a:lstStyle/>
        <a:p>
          <a:pPr algn="ctr" rtl="0">
            <a:defRPr sz="1400" b="0" i="0">
              <a:solidFill>
                <a:srgbClr val="595959"/>
              </a:solidFill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Cost, benefits and net savings for agency (annual)</a:t>
          </a:r>
        </a:p>
      </cx:txPr>
    </cx:title>
    <cx:plotArea>
      <cx:plotAreaRegion>
        <cx:plotSurface>
          <cx:spPr>
            <a:noFill/>
            <a:ln>
              <a:noFill/>
            </a:ln>
          </cx:spPr>
        </cx:plotSurface>
        <cx:series layoutId="waterfall" uniqueId="{03702000-B19F-B143-86E4-B3623CD4CB52}">
          <cx:spPr>
            <a:ln w="31750"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x:spPr>
          <cx:dataPt idx="0">
            <cx:spPr>
              <a:solidFill>
                <a:srgbClr val="00D29A"/>
              </a:solidFill>
              <a:ln>
                <a:noFill/>
              </a:ln>
            </cx:spPr>
          </cx:dataPt>
          <cx:dataPt idx="1">
            <cx:spPr>
              <a:solidFill>
                <a:srgbClr val="EF2978"/>
              </a:solidFill>
              <a:ln>
                <a:noFill/>
              </a:ln>
            </cx:spPr>
          </cx:dataPt>
          <cx:dataPt idx="2">
            <cx:spPr>
              <a:solidFill>
                <a:sysClr val="windowText" lastClr="000000">
                  <a:lumMod val="50000"/>
                  <a:lumOff val="50000"/>
                </a:sysClr>
              </a:solidFill>
              <a:ln>
                <a:noFill/>
              </a:ln>
            </cx:spPr>
          </cx:dataPt>
          <cx:dataLabels pos="ctr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chemeClr val="bg1"/>
                    </a:solidFill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 sz="900" b="0" i="0" u="none" strike="noStrike" baseline="0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  <cx:visibility seriesName="0" categoryName="0" value="1"/>
          </cx:dataLabels>
          <cx:dataId val="0"/>
          <cx:layoutPr>
            <cx:subtotals>
              <cx:idx val="2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US"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/>
        <cx:tickLabels/>
        <cx:numFmt formatCode="#,##0" sourceLinked="0"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US"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ln>
      <a:noFill/>
    </a:ln>
  </cx:spPr>
  <cx:fmtOvrs>
    <cx:fmtOvr idx="2">
      <cx:spPr>
        <a:solidFill>
          <a:schemeClr val="tx1">
            <a:lumMod val="50000"/>
            <a:lumOff val="50000"/>
          </a:schemeClr>
        </a:solidFill>
      </cx:spPr>
    </cx:fmtOvr>
    <cx:fmtOvr idx="1">
      <cx:spPr>
        <a:solidFill>
          <a:srgbClr val="EF2978"/>
        </a:solidFill>
      </cx:spPr>
    </cx:fmtOvr>
    <cx:fmtOvr idx="0">
      <cx:spPr>
        <a:solidFill>
          <a:srgbClr val="00D29A"/>
        </a:solidFill>
      </cx:spPr>
    </cx:fmtOvr>
  </cx:fmtOvr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414851</xdr:colOff>
      <xdr:row>1</xdr:row>
      <xdr:rowOff>25400</xdr:rowOff>
    </xdr:from>
    <xdr:to>
      <xdr:col>9</xdr:col>
      <xdr:colOff>460695</xdr:colOff>
      <xdr:row>6</xdr:row>
      <xdr:rowOff>101600</xdr:rowOff>
    </xdr:to>
    <xdr:pic>
      <xdr:nvPicPr>
        <xdr:cNvPr id="2" name="Picture 1" descr="Stockholm Environment Institute - Wikipedia">
          <a:extLst>
            <a:ext uri="{FF2B5EF4-FFF2-40B4-BE49-F238E27FC236}">
              <a16:creationId xmlns:a16="http://schemas.microsoft.com/office/drawing/2014/main" id="{B4618D48-3087-1944-B128-23E69E100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2441" y="224316"/>
          <a:ext cx="872109" cy="1070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115779</xdr:colOff>
      <xdr:row>1</xdr:row>
      <xdr:rowOff>20320</xdr:rowOff>
    </xdr:from>
    <xdr:to>
      <xdr:col>8</xdr:col>
      <xdr:colOff>315901</xdr:colOff>
      <xdr:row>6</xdr:row>
      <xdr:rowOff>30480</xdr:rowOff>
    </xdr:to>
    <xdr:pic>
      <xdr:nvPicPr>
        <xdr:cNvPr id="3" name="Picture 2" descr="Working at Spare Labs | Glassdoor">
          <a:extLst>
            <a:ext uri="{FF2B5EF4-FFF2-40B4-BE49-F238E27FC236}">
              <a16:creationId xmlns:a16="http://schemas.microsoft.com/office/drawing/2014/main" id="{598B4496-F4D0-7844-93D8-AE4776546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7104" y="219236"/>
          <a:ext cx="1026387" cy="1004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550845</xdr:colOff>
      <xdr:row>3</xdr:row>
      <xdr:rowOff>52981</xdr:rowOff>
    </xdr:from>
    <xdr:to>
      <xdr:col>13</xdr:col>
      <xdr:colOff>336626</xdr:colOff>
      <xdr:row>6</xdr:row>
      <xdr:rowOff>153014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1A3A643-DB11-644B-B8FB-C0A489BA5B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5926" b="3041"/>
        <a:stretch/>
      </xdr:blipFill>
      <xdr:spPr>
        <a:xfrm>
          <a:off x="7604700" y="649728"/>
          <a:ext cx="3090842" cy="696780"/>
        </a:xfrm>
        <a:prstGeom prst="rect">
          <a:avLst/>
        </a:prstGeom>
      </xdr:spPr>
    </xdr:pic>
    <xdr:clientData/>
  </xdr:twoCellAnchor>
  <xdr:twoCellAnchor editAs="oneCell">
    <xdr:from>
      <xdr:col>9</xdr:col>
      <xdr:colOff>566145</xdr:colOff>
      <xdr:row>0</xdr:row>
      <xdr:rowOff>164895</xdr:rowOff>
    </xdr:from>
    <xdr:to>
      <xdr:col>11</xdr:col>
      <xdr:colOff>612048</xdr:colOff>
      <xdr:row>3</xdr:row>
      <xdr:rowOff>89187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CB9DE2D-F931-D441-A260-049FFDE4C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65926" b="29833"/>
        <a:stretch/>
      </xdr:blipFill>
      <xdr:spPr>
        <a:xfrm>
          <a:off x="7620000" y="164895"/>
          <a:ext cx="1698434" cy="5210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520700</xdr:colOff>
      <xdr:row>6</xdr:row>
      <xdr:rowOff>152400</xdr:rowOff>
    </xdr:from>
    <xdr:to>
      <xdr:col>3</xdr:col>
      <xdr:colOff>4394200</xdr:colOff>
      <xdr:row>20</xdr:row>
      <xdr:rowOff>101600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157958F-B74C-B643-A71B-973786A5A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398011</xdr:colOff>
      <xdr:row>28</xdr:row>
      <xdr:rowOff>70956</xdr:rowOff>
    </xdr:from>
    <xdr:to>
      <xdr:col>3</xdr:col>
      <xdr:colOff>4970011</xdr:colOff>
      <xdr:row>42</xdr:row>
      <xdr:rowOff>50683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9E0AEDA-D959-FE4E-AB6A-B0EE36019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806450</xdr:colOff>
      <xdr:row>6</xdr:row>
      <xdr:rowOff>114300</xdr:rowOff>
    </xdr:from>
    <xdr:to>
      <xdr:col>1</xdr:col>
      <xdr:colOff>3403600</xdr:colOff>
      <xdr:row>20</xdr:row>
      <xdr:rowOff>12700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D0F3A32-2ADB-8F49-B181-51E1C18C1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3492500</xdr:colOff>
      <xdr:row>6</xdr:row>
      <xdr:rowOff>177800</xdr:rowOff>
    </xdr:from>
    <xdr:to>
      <xdr:col>3</xdr:col>
      <xdr:colOff>279400</xdr:colOff>
      <xdr:row>20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03D2C00-B986-454E-943B-80D9AF2A5C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44450</xdr:colOff>
      <xdr:row>28</xdr:row>
      <xdr:rowOff>25400</xdr:rowOff>
    </xdr:from>
    <xdr:to>
      <xdr:col>1</xdr:col>
      <xdr:colOff>3467100</xdr:colOff>
      <xdr:row>41</xdr:row>
      <xdr:rowOff>101600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CF2EAFF-4C78-AD4B-BD07-7BE57E2A1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1284323</xdr:colOff>
      <xdr:row>57</xdr:row>
      <xdr:rowOff>38100</xdr:rowOff>
    </xdr:from>
    <xdr:to>
      <xdr:col>3</xdr:col>
      <xdr:colOff>4706395</xdr:colOff>
      <xdr:row>70</xdr:row>
      <xdr:rowOff>114300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3CC5253-27FC-414F-B152-98E88AEAE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3663950</xdr:colOff>
      <xdr:row>28</xdr:row>
      <xdr:rowOff>25400</xdr:rowOff>
    </xdr:from>
    <xdr:to>
      <xdr:col>3</xdr:col>
      <xdr:colOff>0</xdr:colOff>
      <xdr:row>41</xdr:row>
      <xdr:rowOff>101600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4E6AEDB8-98C6-2D44-9632-5FECFC7BA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1140166</xdr:colOff>
      <xdr:row>57</xdr:row>
      <xdr:rowOff>11652</xdr:rowOff>
    </xdr:from>
    <xdr:to>
      <xdr:col>3</xdr:col>
      <xdr:colOff>1326717</xdr:colOff>
      <xdr:row>70</xdr:row>
      <xdr:rowOff>108125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661ECAF-0676-5448-AED4-40FBF56D5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815810</xdr:colOff>
      <xdr:row>57</xdr:row>
      <xdr:rowOff>57078</xdr:rowOff>
    </xdr:from>
    <xdr:to>
      <xdr:col>2</xdr:col>
      <xdr:colOff>827641</xdr:colOff>
      <xdr:row>70</xdr:row>
      <xdr:rowOff>99888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18" name="Chart 17">
              <a:extLst>
                <a:ext uri="{FF2B5EF4-FFF2-40B4-BE49-F238E27FC236}">
                  <a16:creationId xmlns:a16="http://schemas.microsoft.com/office/drawing/2014/main" id="{3A4CCDC7-3EEC-7647-B575-13BFB10BD0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9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5810" y="11341028"/>
              <a:ext cx="4685431" cy="26018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12700</xdr:rowOff>
    </xdr:from>
    <xdr:to>
      <xdr:col>4</xdr:col>
      <xdr:colOff>165100</xdr:colOff>
      <xdr:row>41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78A5549-3482-DF45-84F7-3470E2617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28</xdr:row>
      <xdr:rowOff>0</xdr:rowOff>
    </xdr:from>
    <xdr:to>
      <xdr:col>8</xdr:col>
      <xdr:colOff>431800</xdr:colOff>
      <xdr:row>41</xdr:row>
      <xdr:rowOff>190500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381B8D5-2CC4-AD44-AA2D-ADD54D9CB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546100</xdr:colOff>
      <xdr:row>27</xdr:row>
      <xdr:rowOff>177800</xdr:rowOff>
    </xdr:from>
    <xdr:to>
      <xdr:col>12</xdr:col>
      <xdr:colOff>431800</xdr:colOff>
      <xdr:row>41</xdr:row>
      <xdr:rowOff>127000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45C6085-4254-DC42-A1ED-6E1A0ABB0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6</xdr:row>
      <xdr:rowOff>76200</xdr:rowOff>
    </xdr:from>
    <xdr:to>
      <xdr:col>9</xdr:col>
      <xdr:colOff>368300</xdr:colOff>
      <xdr:row>20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40B7C50-AB27-0046-8ABD-24A4B1E60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reencarreports.com/news/1071688_95-of-all-trips-could-be-made-in-electric-cars-says-study" TargetMode="External"/><Relationship Id="rId3" Type="http://schemas.openxmlformats.org/officeDocument/2006/relationships/hyperlink" Target="https://www.marsdd.com/wp-content/uploads/2016/12/Microtransit-report-2016.pdf" TargetMode="External"/><Relationship Id="rId7" Type="http://schemas.openxmlformats.org/officeDocument/2006/relationships/hyperlink" Target="https://www.carbonbrief.org/qa-social-cost-carbon" TargetMode="External"/><Relationship Id="rId2" Type="http://schemas.openxmlformats.org/officeDocument/2006/relationships/hyperlink" Target="https://www.translink.ca/-/media/Documents/plans_and_projects/managing_the_transit_network/bus_speed_reliability/2019_Bus_Speed_and_Reliability_Report.pdf?la=en&amp;hash=78C00AA8DF9DB5E10E1BF25CF7C7B5B1F05B9B47" TargetMode="External"/><Relationship Id="rId1" Type="http://schemas.openxmlformats.org/officeDocument/2006/relationships/hyperlink" Target="https://www.apta.com/wp-content/uploads/APTA_Fact-Book-2019_FINAL.pdf" TargetMode="External"/><Relationship Id="rId6" Type="http://schemas.openxmlformats.org/officeDocument/2006/relationships/hyperlink" Target="https://www.marsdd.com/wp-content/uploads/2016/12/Microtransit-report-2016.pdf" TargetMode="External"/><Relationship Id="rId5" Type="http://schemas.openxmlformats.org/officeDocument/2006/relationships/hyperlink" Target="https://www.sciencedirect.com/science/article/pii/S2352146516000600" TargetMode="External"/><Relationship Id="rId10" Type="http://schemas.openxmlformats.org/officeDocument/2006/relationships/hyperlink" Target="https://youmatter.world/en/plane-or-cars-which-means-of-transport-pollutes-the-most/" TargetMode="External"/><Relationship Id="rId4" Type="http://schemas.openxmlformats.org/officeDocument/2006/relationships/hyperlink" Target="https://sparelabs.com/en/blog/microtransit-reshapes-modal-split/" TargetMode="External"/><Relationship Id="rId9" Type="http://schemas.openxmlformats.org/officeDocument/2006/relationships/hyperlink" Target="https://www.fhwa.dot.gov/tpm/guidance/avo_factors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C2F3D-A0A0-5A4D-A173-265168EC5E99}">
  <sheetPr>
    <tabColor theme="5" tint="0.59999389629810485"/>
  </sheetPr>
  <dimension ref="A1:BY436"/>
  <sheetViews>
    <sheetView showGridLines="0" tabSelected="1" zoomScale="83" workbookViewId="0">
      <selection activeCell="B2" sqref="B2:G6"/>
    </sheetView>
  </sheetViews>
  <sheetFormatPr defaultColWidth="10.6640625" defaultRowHeight="15.5" x14ac:dyDescent="0.35"/>
  <cols>
    <col min="1" max="1" width="5.83203125" style="2" customWidth="1"/>
    <col min="2" max="2" width="10.83203125" style="2"/>
    <col min="3" max="3" width="10.83203125" style="2" customWidth="1"/>
    <col min="4" max="15" width="10.83203125" style="2"/>
  </cols>
  <sheetData>
    <row r="1" spans="1:77" x14ac:dyDescent="0.3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</row>
    <row r="2" spans="1:77" ht="16" customHeight="1" x14ac:dyDescent="0.4">
      <c r="A2" s="37"/>
      <c r="B2" s="124" t="s">
        <v>274</v>
      </c>
      <c r="C2" s="124"/>
      <c r="D2" s="124"/>
      <c r="E2" s="124"/>
      <c r="F2" s="124"/>
      <c r="G2" s="124"/>
      <c r="H2" s="120"/>
      <c r="I2" s="120"/>
      <c r="J2" s="120"/>
      <c r="K2" s="120"/>
      <c r="L2" s="37"/>
      <c r="M2" s="37"/>
      <c r="N2" s="37"/>
      <c r="O2" s="37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</row>
    <row r="3" spans="1:77" ht="16" customHeight="1" x14ac:dyDescent="0.4">
      <c r="A3" s="37"/>
      <c r="B3" s="124"/>
      <c r="C3" s="124"/>
      <c r="D3" s="124"/>
      <c r="E3" s="124"/>
      <c r="F3" s="124"/>
      <c r="G3" s="124"/>
      <c r="H3" s="120"/>
      <c r="I3" s="120"/>
      <c r="J3" s="120"/>
      <c r="K3" s="120"/>
      <c r="L3" s="37"/>
      <c r="M3" s="37"/>
      <c r="N3" s="37"/>
      <c r="O3" s="37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</row>
    <row r="4" spans="1:77" ht="16" customHeight="1" x14ac:dyDescent="0.4">
      <c r="A4" s="37"/>
      <c r="B4" s="124"/>
      <c r="C4" s="124"/>
      <c r="D4" s="124"/>
      <c r="E4" s="124"/>
      <c r="F4" s="124"/>
      <c r="G4" s="124"/>
      <c r="H4" s="120"/>
      <c r="I4" s="120"/>
      <c r="J4" s="120"/>
      <c r="K4" s="120"/>
      <c r="L4" s="37"/>
      <c r="M4" s="37"/>
      <c r="N4" s="37"/>
      <c r="O4" s="37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</row>
    <row r="5" spans="1:77" ht="16" customHeight="1" x14ac:dyDescent="0.4">
      <c r="A5" s="37"/>
      <c r="B5" s="124"/>
      <c r="C5" s="124"/>
      <c r="D5" s="124"/>
      <c r="E5" s="124"/>
      <c r="F5" s="124"/>
      <c r="G5" s="124"/>
      <c r="H5" s="120"/>
      <c r="I5" s="120"/>
      <c r="J5" s="120"/>
      <c r="K5" s="120"/>
      <c r="L5" s="37"/>
      <c r="M5" s="37"/>
      <c r="N5" s="37"/>
      <c r="O5" s="37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</row>
    <row r="6" spans="1:77" ht="16" customHeight="1" x14ac:dyDescent="0.4">
      <c r="A6" s="37"/>
      <c r="B6" s="124"/>
      <c r="C6" s="124"/>
      <c r="D6" s="124"/>
      <c r="E6" s="124"/>
      <c r="F6" s="124"/>
      <c r="G6" s="124"/>
      <c r="H6" s="120"/>
      <c r="I6" s="120"/>
      <c r="J6" s="120"/>
      <c r="K6" s="120"/>
      <c r="L6" s="37"/>
      <c r="M6" s="37"/>
      <c r="N6" s="37"/>
      <c r="O6" s="37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</row>
    <row r="7" spans="1:77" x14ac:dyDescent="0.3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</row>
    <row r="8" spans="1:77" x14ac:dyDescent="0.35">
      <c r="A8" s="37"/>
      <c r="B8" s="37" t="s">
        <v>111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</row>
    <row r="9" spans="1:77" x14ac:dyDescent="0.35">
      <c r="A9" s="37"/>
      <c r="B9" s="37" t="s">
        <v>173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</row>
    <row r="10" spans="1:77" x14ac:dyDescent="0.35">
      <c r="A10" s="37"/>
      <c r="B10" s="37" t="s">
        <v>174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</row>
    <row r="11" spans="1:77" x14ac:dyDescent="0.3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</row>
    <row r="12" spans="1:77" ht="16" thickBot="1" x14ac:dyDescent="0.4">
      <c r="A12" s="37"/>
      <c r="B12" s="121" t="s">
        <v>120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3"/>
      <c r="O12" s="37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</row>
    <row r="13" spans="1:77" x14ac:dyDescent="0.35">
      <c r="A13" s="37"/>
      <c r="B13" s="56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8"/>
      <c r="O13" s="37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</row>
    <row r="14" spans="1:77" x14ac:dyDescent="0.35">
      <c r="A14" s="37"/>
      <c r="B14" s="56" t="s">
        <v>112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8"/>
      <c r="O14" s="37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</row>
    <row r="15" spans="1:77" x14ac:dyDescent="0.35">
      <c r="A15" s="37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  <c r="O15" s="37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</row>
    <row r="16" spans="1:77" x14ac:dyDescent="0.35">
      <c r="A16" s="37"/>
      <c r="B16" s="56"/>
      <c r="C16" s="57" t="s">
        <v>238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8"/>
      <c r="O16" s="37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</row>
    <row r="17" spans="1:77" x14ac:dyDescent="0.35">
      <c r="A17" s="37"/>
      <c r="B17" s="56"/>
      <c r="C17" s="57" t="s">
        <v>113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8"/>
      <c r="O17" s="37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</row>
    <row r="18" spans="1:77" x14ac:dyDescent="0.35">
      <c r="A18" s="37"/>
      <c r="B18" s="56"/>
      <c r="C18" s="57" t="s">
        <v>114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8"/>
      <c r="O18" s="37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</row>
    <row r="19" spans="1:77" x14ac:dyDescent="0.35">
      <c r="A19" s="37"/>
      <c r="B19" s="56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/>
      <c r="O19" s="37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</row>
    <row r="20" spans="1:77" x14ac:dyDescent="0.35">
      <c r="A20" s="37"/>
      <c r="B20" s="56" t="s">
        <v>115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8"/>
      <c r="O20" s="37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</row>
    <row r="21" spans="1:77" x14ac:dyDescent="0.35">
      <c r="A21" s="37"/>
      <c r="B21" s="56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/>
      <c r="O21" s="37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</row>
    <row r="22" spans="1:77" x14ac:dyDescent="0.35">
      <c r="A22" s="37"/>
      <c r="B22" s="56"/>
      <c r="C22" s="62" t="s">
        <v>116</v>
      </c>
      <c r="D22" s="57"/>
      <c r="E22" s="57"/>
      <c r="F22" s="57" t="s">
        <v>118</v>
      </c>
      <c r="G22" s="57"/>
      <c r="H22" s="57"/>
      <c r="I22" s="57"/>
      <c r="J22" s="57"/>
      <c r="K22" s="57"/>
      <c r="L22" s="57"/>
      <c r="M22" s="57"/>
      <c r="N22" s="58"/>
      <c r="O22" s="37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</row>
    <row r="23" spans="1:77" x14ac:dyDescent="0.35">
      <c r="A23" s="37"/>
      <c r="B23" s="56"/>
      <c r="C23" s="63" t="s">
        <v>136</v>
      </c>
      <c r="D23" s="57"/>
      <c r="E23" s="57"/>
      <c r="F23" s="57" t="s">
        <v>138</v>
      </c>
      <c r="G23" s="57"/>
      <c r="H23" s="57"/>
      <c r="I23" s="57"/>
      <c r="J23" s="57"/>
      <c r="K23" s="57"/>
      <c r="L23" s="57"/>
      <c r="M23" s="57"/>
      <c r="N23" s="58"/>
      <c r="O23" s="37"/>
      <c r="P23" s="36"/>
      <c r="Q23" s="36"/>
      <c r="R23" s="36"/>
      <c r="S23" s="36"/>
      <c r="T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</row>
    <row r="24" spans="1:77" x14ac:dyDescent="0.35">
      <c r="A24" s="37"/>
      <c r="B24" s="56"/>
      <c r="C24" s="63" t="s">
        <v>117</v>
      </c>
      <c r="D24" s="57"/>
      <c r="E24" s="57"/>
      <c r="F24" s="57" t="s">
        <v>137</v>
      </c>
      <c r="G24" s="57"/>
      <c r="H24" s="57"/>
      <c r="I24" s="57"/>
      <c r="J24" s="57"/>
      <c r="K24" s="57"/>
      <c r="L24" s="57"/>
      <c r="M24" s="57"/>
      <c r="N24" s="58"/>
      <c r="O24" s="37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</row>
    <row r="25" spans="1:77" x14ac:dyDescent="0.35">
      <c r="A25" s="37"/>
      <c r="B25" s="56"/>
      <c r="C25" s="63" t="s">
        <v>119</v>
      </c>
      <c r="D25" s="57"/>
      <c r="E25" s="57"/>
      <c r="F25" s="57" t="s">
        <v>122</v>
      </c>
      <c r="G25" s="57"/>
      <c r="H25" s="57"/>
      <c r="I25" s="57"/>
      <c r="J25" s="57"/>
      <c r="K25" s="57"/>
      <c r="L25" s="57"/>
      <c r="M25" s="57"/>
      <c r="N25" s="58"/>
      <c r="O25" s="37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</row>
    <row r="26" spans="1:77" x14ac:dyDescent="0.35">
      <c r="A26" s="37"/>
      <c r="B26" s="56"/>
      <c r="C26" s="63" t="s">
        <v>236</v>
      </c>
      <c r="D26" s="57"/>
      <c r="E26" s="57"/>
      <c r="F26" s="57" t="s">
        <v>237</v>
      </c>
      <c r="G26" s="57"/>
      <c r="H26" s="57"/>
      <c r="I26" s="57"/>
      <c r="J26" s="57"/>
      <c r="K26" s="57"/>
      <c r="L26" s="57"/>
      <c r="M26" s="57"/>
      <c r="N26" s="58"/>
      <c r="O26" s="37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7" x14ac:dyDescent="0.35">
      <c r="A27" s="37"/>
      <c r="B27" s="56"/>
      <c r="C27" s="63" t="s">
        <v>121</v>
      </c>
      <c r="D27" s="57"/>
      <c r="E27" s="57"/>
      <c r="F27" s="57" t="s">
        <v>124</v>
      </c>
      <c r="G27" s="57"/>
      <c r="H27" s="57"/>
      <c r="I27" s="57"/>
      <c r="J27" s="57"/>
      <c r="K27" s="57"/>
      <c r="L27" s="57"/>
      <c r="M27" s="57"/>
      <c r="N27" s="58"/>
      <c r="O27" s="37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</row>
    <row r="28" spans="1:77" x14ac:dyDescent="0.35">
      <c r="A28" s="37"/>
      <c r="B28" s="56"/>
      <c r="C28" s="63" t="s">
        <v>123</v>
      </c>
      <c r="D28" s="57"/>
      <c r="E28" s="57"/>
      <c r="F28" s="57" t="s">
        <v>125</v>
      </c>
      <c r="G28" s="57"/>
      <c r="H28" s="57"/>
      <c r="I28" s="57"/>
      <c r="J28" s="57"/>
      <c r="K28" s="57"/>
      <c r="L28" s="57"/>
      <c r="M28" s="57"/>
      <c r="N28" s="58"/>
      <c r="O28" s="37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</row>
    <row r="29" spans="1:77" x14ac:dyDescent="0.35">
      <c r="A29" s="37"/>
      <c r="B29" s="56"/>
      <c r="C29" s="63" t="s">
        <v>126</v>
      </c>
      <c r="D29" s="57"/>
      <c r="E29" s="57"/>
      <c r="F29" s="57" t="s">
        <v>127</v>
      </c>
      <c r="G29" s="57"/>
      <c r="H29" s="57"/>
      <c r="I29" s="57"/>
      <c r="J29" s="57"/>
      <c r="K29" s="57"/>
      <c r="L29" s="57"/>
      <c r="M29" s="57"/>
      <c r="N29" s="58"/>
      <c r="O29" s="37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</row>
    <row r="30" spans="1:77" x14ac:dyDescent="0.35">
      <c r="A30" s="37"/>
      <c r="B30" s="56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8"/>
      <c r="O30" s="37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</row>
    <row r="31" spans="1:77" x14ac:dyDescent="0.35">
      <c r="A31" s="37"/>
      <c r="B31" s="56" t="s">
        <v>131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8"/>
      <c r="O31" s="37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</row>
    <row r="32" spans="1:77" x14ac:dyDescent="0.35">
      <c r="A32" s="37"/>
      <c r="B32" s="56"/>
      <c r="C32" s="64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8"/>
      <c r="O32" s="37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</row>
    <row r="33" spans="1:77" x14ac:dyDescent="0.35">
      <c r="A33" s="37"/>
      <c r="B33" s="56"/>
      <c r="C33" s="75"/>
      <c r="D33" s="76"/>
      <c r="E33" s="57"/>
      <c r="F33" s="57" t="s">
        <v>141</v>
      </c>
      <c r="G33" s="57"/>
      <c r="H33" s="57"/>
      <c r="I33" s="57"/>
      <c r="J33" s="57"/>
      <c r="K33" s="57"/>
      <c r="L33" s="57"/>
      <c r="M33" s="57"/>
      <c r="N33" s="58"/>
      <c r="O33" s="37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</row>
    <row r="34" spans="1:77" x14ac:dyDescent="0.35">
      <c r="A34" s="37"/>
      <c r="B34" s="56"/>
      <c r="C34" s="43"/>
      <c r="D34" s="44"/>
      <c r="E34" s="57"/>
      <c r="F34" s="57" t="s">
        <v>135</v>
      </c>
      <c r="G34" s="57"/>
      <c r="H34" s="57"/>
      <c r="I34" s="57"/>
      <c r="J34" s="57"/>
      <c r="K34" s="57"/>
      <c r="L34" s="57"/>
      <c r="M34" s="57"/>
      <c r="N34" s="58"/>
      <c r="O34" s="37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</row>
    <row r="35" spans="1:77" x14ac:dyDescent="0.35">
      <c r="A35" s="37"/>
      <c r="B35" s="56"/>
      <c r="C35" s="55" t="b">
        <f>TRUE</f>
        <v>1</v>
      </c>
      <c r="D35" s="55" t="b">
        <f>FALSE</f>
        <v>0</v>
      </c>
      <c r="E35" s="57"/>
      <c r="F35" s="57" t="s">
        <v>162</v>
      </c>
      <c r="G35" s="57"/>
      <c r="H35" s="57"/>
      <c r="I35" s="57"/>
      <c r="J35" s="57"/>
      <c r="K35" s="57"/>
      <c r="L35" s="57"/>
      <c r="M35" s="57"/>
      <c r="N35" s="58"/>
      <c r="O35" s="37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</row>
    <row r="36" spans="1:77" x14ac:dyDescent="0.35">
      <c r="A36" s="37"/>
      <c r="B36" s="56"/>
      <c r="C36" s="37"/>
      <c r="D36" s="37"/>
      <c r="E36" s="37"/>
      <c r="G36" s="57"/>
      <c r="H36" s="57"/>
      <c r="I36" s="57"/>
      <c r="J36" s="57"/>
      <c r="K36" s="57"/>
      <c r="L36" s="57"/>
      <c r="M36" s="57"/>
      <c r="N36" s="58"/>
      <c r="O36" s="37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</row>
    <row r="37" spans="1:77" x14ac:dyDescent="0.35">
      <c r="A37" s="37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1"/>
      <c r="O37" s="37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</row>
    <row r="38" spans="1:77" x14ac:dyDescent="0.3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</row>
    <row r="39" spans="1:77" ht="16" thickBot="1" x14ac:dyDescent="0.4">
      <c r="A39" s="37"/>
      <c r="B39" s="121" t="s">
        <v>163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3"/>
      <c r="O39" s="37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</row>
    <row r="40" spans="1:77" x14ac:dyDescent="0.35">
      <c r="A40" s="37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8"/>
      <c r="O40" s="37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</row>
    <row r="41" spans="1:77" x14ac:dyDescent="0.35">
      <c r="A41" s="37"/>
      <c r="B41" s="56"/>
      <c r="C41" s="57" t="s">
        <v>165</v>
      </c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37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</row>
    <row r="42" spans="1:77" x14ac:dyDescent="0.35">
      <c r="A42" s="37"/>
      <c r="B42" s="56"/>
      <c r="C42" s="57" t="s">
        <v>164</v>
      </c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8"/>
      <c r="O42" s="37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</row>
    <row r="43" spans="1:77" x14ac:dyDescent="0.35">
      <c r="A43" s="37"/>
      <c r="B43" s="56"/>
      <c r="C43" s="57" t="s">
        <v>281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8"/>
      <c r="O43" s="37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</row>
    <row r="44" spans="1:77" x14ac:dyDescent="0.35">
      <c r="A44" s="37"/>
      <c r="B44" s="56"/>
      <c r="C44" s="57" t="s">
        <v>277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8"/>
      <c r="O44" s="37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</row>
    <row r="45" spans="1:77" x14ac:dyDescent="0.35">
      <c r="A45" s="37"/>
      <c r="B45" s="56"/>
      <c r="C45" s="57" t="s">
        <v>278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8"/>
      <c r="O45" s="37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</row>
    <row r="46" spans="1:77" x14ac:dyDescent="0.35">
      <c r="A46" s="37"/>
      <c r="B46" s="56"/>
      <c r="C46" s="57" t="s">
        <v>279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8"/>
      <c r="O46" s="37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</row>
    <row r="47" spans="1:77" x14ac:dyDescent="0.35">
      <c r="A47" s="37"/>
      <c r="B47" s="56"/>
      <c r="C47" s="57" t="s">
        <v>280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8"/>
      <c r="O47" s="37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</row>
    <row r="48" spans="1:77" x14ac:dyDescent="0.35">
      <c r="A48" s="37"/>
      <c r="B48" s="59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1"/>
      <c r="O48" s="37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</row>
    <row r="49" spans="1:77" x14ac:dyDescent="0.3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</row>
    <row r="50" spans="1:77" ht="16" thickBot="1" x14ac:dyDescent="0.4">
      <c r="A50" s="37"/>
      <c r="B50" s="121" t="s">
        <v>166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37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</row>
    <row r="51" spans="1:77" x14ac:dyDescent="0.35">
      <c r="A51" s="37"/>
      <c r="B51" s="56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8"/>
      <c r="O51" s="37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</row>
    <row r="52" spans="1:77" x14ac:dyDescent="0.35">
      <c r="A52" s="37"/>
      <c r="B52" s="56"/>
      <c r="C52" s="57" t="s">
        <v>167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8"/>
      <c r="O52" s="37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</row>
    <row r="53" spans="1:77" x14ac:dyDescent="0.35">
      <c r="A53" s="37"/>
      <c r="B53" s="56"/>
      <c r="C53" s="57" t="s">
        <v>175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8"/>
      <c r="O53" s="37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</row>
    <row r="54" spans="1:77" x14ac:dyDescent="0.35">
      <c r="A54" s="37"/>
      <c r="B54" s="59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1"/>
      <c r="O54" s="37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</row>
    <row r="55" spans="1:77" x14ac:dyDescent="0.3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</row>
    <row r="56" spans="1:77" x14ac:dyDescent="0.3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</row>
    <row r="57" spans="1:77" x14ac:dyDescent="0.3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</row>
    <row r="58" spans="1:77" x14ac:dyDescent="0.3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</row>
    <row r="59" spans="1:77" x14ac:dyDescent="0.3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</row>
    <row r="60" spans="1:77" x14ac:dyDescent="0.3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</row>
    <row r="61" spans="1:77" x14ac:dyDescent="0.3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</row>
    <row r="62" spans="1:77" x14ac:dyDescent="0.3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</row>
    <row r="63" spans="1:77" x14ac:dyDescent="0.3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</row>
    <row r="64" spans="1:77" x14ac:dyDescent="0.3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</row>
    <row r="65" spans="1:77" x14ac:dyDescent="0.3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</row>
    <row r="66" spans="1:77" x14ac:dyDescent="0.3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</row>
    <row r="67" spans="1:77" x14ac:dyDescent="0.3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</row>
    <row r="68" spans="1:77" x14ac:dyDescent="0.3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</row>
    <row r="69" spans="1:77" x14ac:dyDescent="0.3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</row>
    <row r="70" spans="1:77" x14ac:dyDescent="0.3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</row>
    <row r="71" spans="1:77" x14ac:dyDescent="0.3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</row>
    <row r="72" spans="1:77" x14ac:dyDescent="0.3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</row>
    <row r="73" spans="1:77" x14ac:dyDescent="0.3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</row>
    <row r="74" spans="1:77" x14ac:dyDescent="0.3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</row>
    <row r="75" spans="1:77" x14ac:dyDescent="0.3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</row>
    <row r="76" spans="1:77" x14ac:dyDescent="0.3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</row>
    <row r="77" spans="1:77" x14ac:dyDescent="0.3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</row>
    <row r="78" spans="1:77" x14ac:dyDescent="0.3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</row>
    <row r="79" spans="1:77" x14ac:dyDescent="0.3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</row>
    <row r="80" spans="1:77" x14ac:dyDescent="0.3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</row>
    <row r="81" spans="1:77" x14ac:dyDescent="0.3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</row>
    <row r="82" spans="1:77" x14ac:dyDescent="0.3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</row>
    <row r="83" spans="1:77" x14ac:dyDescent="0.3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</row>
    <row r="84" spans="1:77" x14ac:dyDescent="0.3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</row>
    <row r="85" spans="1:77" x14ac:dyDescent="0.3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</row>
    <row r="86" spans="1:77" x14ac:dyDescent="0.3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</row>
    <row r="87" spans="1:77" x14ac:dyDescent="0.3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</row>
    <row r="88" spans="1:77" x14ac:dyDescent="0.3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</row>
    <row r="89" spans="1:77" x14ac:dyDescent="0.3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</row>
    <row r="90" spans="1:77" x14ac:dyDescent="0.3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</row>
    <row r="91" spans="1:77" x14ac:dyDescent="0.3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</row>
    <row r="92" spans="1:77" x14ac:dyDescent="0.3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</row>
    <row r="93" spans="1:77" x14ac:dyDescent="0.3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</row>
    <row r="94" spans="1:77" x14ac:dyDescent="0.3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</row>
    <row r="95" spans="1:77" x14ac:dyDescent="0.3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</row>
    <row r="96" spans="1:77" x14ac:dyDescent="0.3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</row>
    <row r="97" spans="1:77" x14ac:dyDescent="0.3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</row>
    <row r="98" spans="1:77" x14ac:dyDescent="0.3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</row>
    <row r="99" spans="1:77" x14ac:dyDescent="0.3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</row>
    <row r="100" spans="1:77" x14ac:dyDescent="0.3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</row>
    <row r="101" spans="1:77" x14ac:dyDescent="0.3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</row>
    <row r="102" spans="1:77" x14ac:dyDescent="0.3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</row>
    <row r="103" spans="1:77" x14ac:dyDescent="0.3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</row>
    <row r="104" spans="1:77" x14ac:dyDescent="0.3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</row>
    <row r="105" spans="1:77" x14ac:dyDescent="0.3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</row>
    <row r="106" spans="1:77" x14ac:dyDescent="0.3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</row>
    <row r="107" spans="1:77" x14ac:dyDescent="0.3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</row>
    <row r="108" spans="1:77" x14ac:dyDescent="0.3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</row>
    <row r="109" spans="1:77" x14ac:dyDescent="0.3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</row>
    <row r="110" spans="1:77" x14ac:dyDescent="0.3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</row>
    <row r="111" spans="1:77" x14ac:dyDescent="0.3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</row>
    <row r="112" spans="1:77" x14ac:dyDescent="0.3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</row>
    <row r="113" spans="1:77" x14ac:dyDescent="0.3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</row>
    <row r="114" spans="1:77" x14ac:dyDescent="0.3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</row>
    <row r="115" spans="1:77" x14ac:dyDescent="0.3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</row>
    <row r="116" spans="1:77" x14ac:dyDescent="0.3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</row>
    <row r="117" spans="1:77" x14ac:dyDescent="0.3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</row>
    <row r="118" spans="1:77" x14ac:dyDescent="0.3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</row>
    <row r="119" spans="1:77" x14ac:dyDescent="0.3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</row>
    <row r="120" spans="1:77" x14ac:dyDescent="0.3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</row>
    <row r="121" spans="1:77" x14ac:dyDescent="0.3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</row>
    <row r="122" spans="1:77" x14ac:dyDescent="0.3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</row>
    <row r="123" spans="1:77" x14ac:dyDescent="0.3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</row>
    <row r="124" spans="1:77" x14ac:dyDescent="0.3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</row>
    <row r="125" spans="1:77" x14ac:dyDescent="0.3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</row>
    <row r="126" spans="1:77" x14ac:dyDescent="0.3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</row>
    <row r="127" spans="1:77" x14ac:dyDescent="0.3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</row>
    <row r="128" spans="1:77" x14ac:dyDescent="0.3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</row>
    <row r="129" spans="1:77" x14ac:dyDescent="0.3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</row>
    <row r="130" spans="1:77" x14ac:dyDescent="0.3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</row>
    <row r="131" spans="1:77" x14ac:dyDescent="0.3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</row>
    <row r="132" spans="1:77" x14ac:dyDescent="0.3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</row>
    <row r="133" spans="1:77" x14ac:dyDescent="0.3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</row>
    <row r="134" spans="1:77" x14ac:dyDescent="0.3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</row>
    <row r="135" spans="1:77" x14ac:dyDescent="0.3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</row>
    <row r="136" spans="1:77" x14ac:dyDescent="0.3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</row>
    <row r="137" spans="1:77" x14ac:dyDescent="0.3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</row>
    <row r="138" spans="1:77" x14ac:dyDescent="0.3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</row>
    <row r="139" spans="1:77" x14ac:dyDescent="0.3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</row>
    <row r="140" spans="1:77" x14ac:dyDescent="0.3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</row>
    <row r="141" spans="1:77" x14ac:dyDescent="0.3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</row>
    <row r="142" spans="1:77" x14ac:dyDescent="0.3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</row>
    <row r="143" spans="1:77" x14ac:dyDescent="0.3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</row>
    <row r="144" spans="1:77" x14ac:dyDescent="0.3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</row>
    <row r="145" spans="1:77" x14ac:dyDescent="0.3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</row>
    <row r="146" spans="1:77" x14ac:dyDescent="0.3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</row>
    <row r="147" spans="1:77" x14ac:dyDescent="0.3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</row>
    <row r="148" spans="1:77" x14ac:dyDescent="0.3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</row>
    <row r="149" spans="1:77" x14ac:dyDescent="0.3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</row>
    <row r="150" spans="1:77" x14ac:dyDescent="0.3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</row>
    <row r="151" spans="1:77" x14ac:dyDescent="0.3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</row>
    <row r="152" spans="1:77" x14ac:dyDescent="0.3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</row>
    <row r="153" spans="1:77" x14ac:dyDescent="0.3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</row>
    <row r="154" spans="1:77" x14ac:dyDescent="0.3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</row>
    <row r="155" spans="1:77" x14ac:dyDescent="0.3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</row>
    <row r="156" spans="1:77" x14ac:dyDescent="0.3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</row>
    <row r="157" spans="1:77" x14ac:dyDescent="0.3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</row>
    <row r="158" spans="1:77" x14ac:dyDescent="0.3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</row>
    <row r="159" spans="1:77" x14ac:dyDescent="0.3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</row>
    <row r="160" spans="1:77" x14ac:dyDescent="0.3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</row>
    <row r="161" spans="1:77" x14ac:dyDescent="0.3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</row>
    <row r="162" spans="1:77" x14ac:dyDescent="0.3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</row>
    <row r="163" spans="1:77" x14ac:dyDescent="0.3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</row>
    <row r="164" spans="1:77" x14ac:dyDescent="0.3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</row>
    <row r="165" spans="1:77" x14ac:dyDescent="0.3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</row>
    <row r="166" spans="1:77" x14ac:dyDescent="0.3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</row>
    <row r="167" spans="1:77" x14ac:dyDescent="0.3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</row>
    <row r="168" spans="1:77" x14ac:dyDescent="0.3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</row>
    <row r="169" spans="1:77" x14ac:dyDescent="0.3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</row>
    <row r="170" spans="1:77" x14ac:dyDescent="0.3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</row>
    <row r="171" spans="1:77" x14ac:dyDescent="0.3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</row>
    <row r="172" spans="1:77" x14ac:dyDescent="0.3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</row>
    <row r="173" spans="1:77" x14ac:dyDescent="0.3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</row>
    <row r="174" spans="1:77" x14ac:dyDescent="0.3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</row>
    <row r="175" spans="1:77" x14ac:dyDescent="0.3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</row>
    <row r="176" spans="1:77" x14ac:dyDescent="0.3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</row>
    <row r="177" spans="1:77" x14ac:dyDescent="0.3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</row>
    <row r="178" spans="1:77" x14ac:dyDescent="0.3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</row>
    <row r="179" spans="1:77" x14ac:dyDescent="0.3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</row>
    <row r="180" spans="1:77" x14ac:dyDescent="0.3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</row>
    <row r="181" spans="1:77" x14ac:dyDescent="0.3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</row>
    <row r="182" spans="1:77" x14ac:dyDescent="0.3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</row>
    <row r="183" spans="1:77" x14ac:dyDescent="0.3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</row>
    <row r="184" spans="1:77" x14ac:dyDescent="0.3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</row>
    <row r="185" spans="1:77" x14ac:dyDescent="0.3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</row>
    <row r="186" spans="1:77" x14ac:dyDescent="0.3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</row>
    <row r="187" spans="1:77" x14ac:dyDescent="0.3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</row>
    <row r="188" spans="1:77" x14ac:dyDescent="0.3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</row>
    <row r="189" spans="1:77" x14ac:dyDescent="0.3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</row>
    <row r="190" spans="1:77" x14ac:dyDescent="0.3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</row>
    <row r="191" spans="1:77" x14ac:dyDescent="0.3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</row>
    <row r="192" spans="1:77" x14ac:dyDescent="0.3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</row>
    <row r="193" spans="1:77" x14ac:dyDescent="0.3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</row>
    <row r="194" spans="1:77" x14ac:dyDescent="0.3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</row>
    <row r="195" spans="1:77" x14ac:dyDescent="0.3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</row>
    <row r="196" spans="1:77" x14ac:dyDescent="0.3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</row>
    <row r="197" spans="1:77" x14ac:dyDescent="0.3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</row>
    <row r="198" spans="1:77" x14ac:dyDescent="0.3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</row>
    <row r="199" spans="1:77" x14ac:dyDescent="0.3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</row>
    <row r="200" spans="1:77" x14ac:dyDescent="0.3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</row>
    <row r="201" spans="1:77" x14ac:dyDescent="0.3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</row>
    <row r="202" spans="1:77" x14ac:dyDescent="0.3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</row>
    <row r="203" spans="1:77" x14ac:dyDescent="0.3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</row>
    <row r="204" spans="1:77" x14ac:dyDescent="0.3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</row>
    <row r="205" spans="1:77" x14ac:dyDescent="0.3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</row>
    <row r="206" spans="1:77" x14ac:dyDescent="0.3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</row>
    <row r="207" spans="1:77" x14ac:dyDescent="0.3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</row>
    <row r="208" spans="1:77" x14ac:dyDescent="0.3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</row>
    <row r="209" spans="1:77" x14ac:dyDescent="0.3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</row>
    <row r="210" spans="1:77" x14ac:dyDescent="0.3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</row>
    <row r="211" spans="1:77" x14ac:dyDescent="0.3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</row>
    <row r="212" spans="1:77" x14ac:dyDescent="0.3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</row>
    <row r="213" spans="1:77" x14ac:dyDescent="0.3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</row>
    <row r="214" spans="1:77" x14ac:dyDescent="0.3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</row>
    <row r="215" spans="1:77" x14ac:dyDescent="0.3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</row>
    <row r="216" spans="1:77" x14ac:dyDescent="0.3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</row>
    <row r="217" spans="1:77" x14ac:dyDescent="0.3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</row>
    <row r="218" spans="1:77" x14ac:dyDescent="0.3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</row>
    <row r="219" spans="1:77" x14ac:dyDescent="0.3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</row>
    <row r="220" spans="1:77" x14ac:dyDescent="0.3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</row>
    <row r="221" spans="1:77" x14ac:dyDescent="0.3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</row>
    <row r="222" spans="1:77" x14ac:dyDescent="0.3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</row>
    <row r="223" spans="1:77" x14ac:dyDescent="0.3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</row>
    <row r="224" spans="1:77" x14ac:dyDescent="0.3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</row>
    <row r="225" spans="1:77" x14ac:dyDescent="0.3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</row>
    <row r="226" spans="1:77" x14ac:dyDescent="0.3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</row>
    <row r="227" spans="1:77" x14ac:dyDescent="0.3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</row>
    <row r="228" spans="1:77" x14ac:dyDescent="0.35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</row>
    <row r="229" spans="1:77" x14ac:dyDescent="0.35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</row>
    <row r="230" spans="1:77" x14ac:dyDescent="0.35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</row>
    <row r="231" spans="1:77" x14ac:dyDescent="0.35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</row>
    <row r="232" spans="1:77" x14ac:dyDescent="0.35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</row>
    <row r="233" spans="1:77" x14ac:dyDescent="0.35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</row>
    <row r="234" spans="1:77" x14ac:dyDescent="0.35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</row>
    <row r="235" spans="1:77" x14ac:dyDescent="0.3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</row>
    <row r="236" spans="1:77" x14ac:dyDescent="0.35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</row>
    <row r="237" spans="1:77" x14ac:dyDescent="0.35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</row>
    <row r="238" spans="1:77" x14ac:dyDescent="0.35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</row>
    <row r="239" spans="1:77" x14ac:dyDescent="0.35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</row>
    <row r="240" spans="1:77" x14ac:dyDescent="0.35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</row>
    <row r="241" spans="1:77" x14ac:dyDescent="0.3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</row>
    <row r="242" spans="1:77" x14ac:dyDescent="0.35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</row>
    <row r="243" spans="1:77" x14ac:dyDescent="0.35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</row>
    <row r="244" spans="1:77" x14ac:dyDescent="0.35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</row>
    <row r="245" spans="1:77" x14ac:dyDescent="0.3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</row>
    <row r="246" spans="1:77" x14ac:dyDescent="0.35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</row>
    <row r="247" spans="1:77" x14ac:dyDescent="0.35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</row>
    <row r="248" spans="1:77" x14ac:dyDescent="0.35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</row>
    <row r="249" spans="1:77" x14ac:dyDescent="0.35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</row>
    <row r="250" spans="1:77" x14ac:dyDescent="0.35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</row>
    <row r="251" spans="1:77" x14ac:dyDescent="0.35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</row>
    <row r="252" spans="1:77" x14ac:dyDescent="0.35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</row>
    <row r="253" spans="1:77" x14ac:dyDescent="0.35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</row>
    <row r="254" spans="1:77" x14ac:dyDescent="0.35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</row>
    <row r="255" spans="1:77" x14ac:dyDescent="0.3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</row>
    <row r="256" spans="1:77" x14ac:dyDescent="0.35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</row>
    <row r="257" spans="1:77" x14ac:dyDescent="0.35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</row>
    <row r="258" spans="1:77" x14ac:dyDescent="0.35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</row>
    <row r="259" spans="1:77" x14ac:dyDescent="0.35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</row>
    <row r="260" spans="1:77" x14ac:dyDescent="0.35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</row>
    <row r="261" spans="1:77" x14ac:dyDescent="0.35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</row>
    <row r="262" spans="1:77" x14ac:dyDescent="0.35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</row>
    <row r="263" spans="1:77" x14ac:dyDescent="0.35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</row>
    <row r="264" spans="1:77" x14ac:dyDescent="0.35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</row>
    <row r="265" spans="1:77" x14ac:dyDescent="0.35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</row>
    <row r="266" spans="1:77" x14ac:dyDescent="0.35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</row>
    <row r="267" spans="1:77" x14ac:dyDescent="0.35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</row>
    <row r="268" spans="1:77" x14ac:dyDescent="0.35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</row>
    <row r="269" spans="1:77" x14ac:dyDescent="0.35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</row>
    <row r="270" spans="1:77" x14ac:dyDescent="0.35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</row>
    <row r="271" spans="1:77" x14ac:dyDescent="0.35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</row>
    <row r="272" spans="1:77" x14ac:dyDescent="0.35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</row>
    <row r="273" spans="1:77" x14ac:dyDescent="0.35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</row>
    <row r="274" spans="1:77" x14ac:dyDescent="0.35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</row>
    <row r="275" spans="1:77" x14ac:dyDescent="0.35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</row>
    <row r="276" spans="1:77" x14ac:dyDescent="0.35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</row>
    <row r="277" spans="1:77" x14ac:dyDescent="0.35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</row>
    <row r="278" spans="1:77" x14ac:dyDescent="0.35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</row>
    <row r="279" spans="1:77" x14ac:dyDescent="0.35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</row>
    <row r="280" spans="1:77" x14ac:dyDescent="0.35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</row>
    <row r="281" spans="1:77" x14ac:dyDescent="0.35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</row>
    <row r="282" spans="1:77" x14ac:dyDescent="0.35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</row>
    <row r="283" spans="1:77" x14ac:dyDescent="0.35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</row>
    <row r="284" spans="1:77" x14ac:dyDescent="0.35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</row>
    <row r="285" spans="1:77" x14ac:dyDescent="0.35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</row>
    <row r="286" spans="1:77" x14ac:dyDescent="0.35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</row>
    <row r="287" spans="1:77" x14ac:dyDescent="0.35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</row>
    <row r="288" spans="1:77" x14ac:dyDescent="0.35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</row>
    <row r="289" spans="1:77" x14ac:dyDescent="0.35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</row>
    <row r="290" spans="1:77" x14ac:dyDescent="0.35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</row>
    <row r="291" spans="1:77" x14ac:dyDescent="0.35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</row>
    <row r="292" spans="1:77" x14ac:dyDescent="0.35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</row>
    <row r="293" spans="1:77" x14ac:dyDescent="0.35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</row>
    <row r="294" spans="1:77" x14ac:dyDescent="0.35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</row>
    <row r="295" spans="1:77" x14ac:dyDescent="0.35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</row>
    <row r="296" spans="1:77" x14ac:dyDescent="0.35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</row>
    <row r="297" spans="1:77" x14ac:dyDescent="0.35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</row>
    <row r="298" spans="1:77" x14ac:dyDescent="0.35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</row>
    <row r="299" spans="1:77" x14ac:dyDescent="0.35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</row>
    <row r="300" spans="1:77" x14ac:dyDescent="0.35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</row>
    <row r="301" spans="1:77" x14ac:dyDescent="0.35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</row>
    <row r="302" spans="1:77" x14ac:dyDescent="0.35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</row>
    <row r="303" spans="1:77" x14ac:dyDescent="0.35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</row>
    <row r="304" spans="1:77" x14ac:dyDescent="0.35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</row>
    <row r="305" spans="1:77" x14ac:dyDescent="0.3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</row>
    <row r="306" spans="1:77" x14ac:dyDescent="0.35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  <c r="BU306" s="36"/>
      <c r="BV306" s="36"/>
      <c r="BW306" s="36"/>
      <c r="BX306" s="36"/>
      <c r="BY306" s="36"/>
    </row>
    <row r="307" spans="1:77" x14ac:dyDescent="0.35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  <c r="BQ307" s="36"/>
      <c r="BR307" s="36"/>
      <c r="BS307" s="36"/>
      <c r="BT307" s="36"/>
      <c r="BU307" s="36"/>
      <c r="BV307" s="36"/>
      <c r="BW307" s="36"/>
      <c r="BX307" s="36"/>
      <c r="BY307" s="36"/>
    </row>
    <row r="308" spans="1:77" x14ac:dyDescent="0.35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36"/>
      <c r="BR308" s="36"/>
      <c r="BS308" s="36"/>
      <c r="BT308" s="36"/>
      <c r="BU308" s="36"/>
      <c r="BV308" s="36"/>
      <c r="BW308" s="36"/>
      <c r="BX308" s="36"/>
      <c r="BY308" s="36"/>
    </row>
    <row r="309" spans="1:77" x14ac:dyDescent="0.35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</row>
    <row r="310" spans="1:77" x14ac:dyDescent="0.35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  <c r="BU310" s="36"/>
      <c r="BV310" s="36"/>
      <c r="BW310" s="36"/>
      <c r="BX310" s="36"/>
      <c r="BY310" s="36"/>
    </row>
    <row r="311" spans="1:77" x14ac:dyDescent="0.35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  <c r="BU311" s="36"/>
      <c r="BV311" s="36"/>
      <c r="BW311" s="36"/>
      <c r="BX311" s="36"/>
      <c r="BY311" s="36"/>
    </row>
    <row r="312" spans="1:77" x14ac:dyDescent="0.35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36"/>
      <c r="BR312" s="36"/>
      <c r="BS312" s="36"/>
      <c r="BT312" s="36"/>
      <c r="BU312" s="36"/>
      <c r="BV312" s="36"/>
      <c r="BW312" s="36"/>
      <c r="BX312" s="36"/>
      <c r="BY312" s="36"/>
    </row>
    <row r="313" spans="1:77" x14ac:dyDescent="0.35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36"/>
      <c r="BR313" s="36"/>
      <c r="BS313" s="36"/>
      <c r="BT313" s="36"/>
      <c r="BU313" s="36"/>
      <c r="BV313" s="36"/>
      <c r="BW313" s="36"/>
      <c r="BX313" s="36"/>
      <c r="BY313" s="36"/>
    </row>
    <row r="314" spans="1:77" x14ac:dyDescent="0.35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36"/>
      <c r="BR314" s="36"/>
      <c r="BS314" s="36"/>
      <c r="BT314" s="36"/>
      <c r="BU314" s="36"/>
      <c r="BV314" s="36"/>
      <c r="BW314" s="36"/>
      <c r="BX314" s="36"/>
      <c r="BY314" s="36"/>
    </row>
    <row r="315" spans="1:77" x14ac:dyDescent="0.35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</row>
    <row r="316" spans="1:77" x14ac:dyDescent="0.35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</row>
    <row r="317" spans="1:77" x14ac:dyDescent="0.35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</row>
    <row r="318" spans="1:77" x14ac:dyDescent="0.35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</row>
    <row r="319" spans="1:77" x14ac:dyDescent="0.35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</row>
    <row r="320" spans="1:77" x14ac:dyDescent="0.35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</row>
    <row r="321" spans="1:77" x14ac:dyDescent="0.35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</row>
    <row r="322" spans="1:77" x14ac:dyDescent="0.35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</row>
    <row r="323" spans="1:77" x14ac:dyDescent="0.35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</row>
    <row r="324" spans="1:77" x14ac:dyDescent="0.35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</row>
    <row r="325" spans="1:77" x14ac:dyDescent="0.35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</row>
    <row r="326" spans="1:77" x14ac:dyDescent="0.35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</row>
    <row r="327" spans="1:77" x14ac:dyDescent="0.35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</row>
    <row r="328" spans="1:77" x14ac:dyDescent="0.35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</row>
    <row r="329" spans="1:77" x14ac:dyDescent="0.35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  <c r="BQ329" s="36"/>
      <c r="BR329" s="36"/>
      <c r="BS329" s="36"/>
      <c r="BT329" s="36"/>
      <c r="BU329" s="36"/>
      <c r="BV329" s="36"/>
      <c r="BW329" s="36"/>
      <c r="BX329" s="36"/>
      <c r="BY329" s="36"/>
    </row>
    <row r="330" spans="1:77" x14ac:dyDescent="0.35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  <c r="BQ330" s="36"/>
      <c r="BR330" s="36"/>
      <c r="BS330" s="36"/>
      <c r="BT330" s="36"/>
      <c r="BU330" s="36"/>
      <c r="BV330" s="36"/>
      <c r="BW330" s="36"/>
      <c r="BX330" s="36"/>
      <c r="BY330" s="36"/>
    </row>
    <row r="331" spans="1:77" x14ac:dyDescent="0.35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</row>
    <row r="332" spans="1:77" x14ac:dyDescent="0.35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  <c r="BQ332" s="36"/>
      <c r="BR332" s="36"/>
      <c r="BS332" s="36"/>
      <c r="BT332" s="36"/>
      <c r="BU332" s="36"/>
      <c r="BV332" s="36"/>
      <c r="BW332" s="36"/>
      <c r="BX332" s="36"/>
      <c r="BY332" s="36"/>
    </row>
    <row r="333" spans="1:77" x14ac:dyDescent="0.35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  <c r="BQ333" s="36"/>
      <c r="BR333" s="36"/>
      <c r="BS333" s="36"/>
      <c r="BT333" s="36"/>
      <c r="BU333" s="36"/>
      <c r="BV333" s="36"/>
      <c r="BW333" s="36"/>
      <c r="BX333" s="36"/>
      <c r="BY333" s="36"/>
    </row>
    <row r="334" spans="1:77" x14ac:dyDescent="0.35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</row>
    <row r="335" spans="1:77" x14ac:dyDescent="0.35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</row>
    <row r="336" spans="1:77" x14ac:dyDescent="0.35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  <c r="BQ336" s="36"/>
      <c r="BR336" s="36"/>
      <c r="BS336" s="36"/>
      <c r="BT336" s="36"/>
      <c r="BU336" s="36"/>
      <c r="BV336" s="36"/>
      <c r="BW336" s="36"/>
      <c r="BX336" s="36"/>
      <c r="BY336" s="36"/>
    </row>
    <row r="337" spans="1:77" x14ac:dyDescent="0.35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  <c r="BO337" s="36"/>
      <c r="BP337" s="36"/>
      <c r="BQ337" s="36"/>
      <c r="BR337" s="36"/>
      <c r="BS337" s="36"/>
      <c r="BT337" s="36"/>
      <c r="BU337" s="36"/>
      <c r="BV337" s="36"/>
      <c r="BW337" s="36"/>
      <c r="BX337" s="36"/>
      <c r="BY337" s="36"/>
    </row>
    <row r="338" spans="1:77" x14ac:dyDescent="0.35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  <c r="BO338" s="36"/>
      <c r="BP338" s="36"/>
      <c r="BQ338" s="36"/>
      <c r="BR338" s="36"/>
      <c r="BS338" s="36"/>
      <c r="BT338" s="36"/>
      <c r="BU338" s="36"/>
      <c r="BV338" s="36"/>
      <c r="BW338" s="36"/>
      <c r="BX338" s="36"/>
      <c r="BY338" s="36"/>
    </row>
    <row r="339" spans="1:77" x14ac:dyDescent="0.35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  <c r="BQ339" s="36"/>
      <c r="BR339" s="36"/>
      <c r="BS339" s="36"/>
      <c r="BT339" s="36"/>
      <c r="BU339" s="36"/>
      <c r="BV339" s="36"/>
      <c r="BW339" s="36"/>
      <c r="BX339" s="36"/>
      <c r="BY339" s="36"/>
    </row>
    <row r="340" spans="1:77" x14ac:dyDescent="0.35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  <c r="BO340" s="36"/>
      <c r="BP340" s="36"/>
      <c r="BQ340" s="36"/>
      <c r="BR340" s="36"/>
      <c r="BS340" s="36"/>
      <c r="BT340" s="36"/>
      <c r="BU340" s="36"/>
      <c r="BV340" s="36"/>
      <c r="BW340" s="36"/>
      <c r="BX340" s="36"/>
      <c r="BY340" s="36"/>
    </row>
    <row r="341" spans="1:77" x14ac:dyDescent="0.35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/>
      <c r="BP341" s="36"/>
      <c r="BQ341" s="36"/>
      <c r="BR341" s="36"/>
      <c r="BS341" s="36"/>
      <c r="BT341" s="36"/>
      <c r="BU341" s="36"/>
      <c r="BV341" s="36"/>
      <c r="BW341" s="36"/>
      <c r="BX341" s="36"/>
      <c r="BY341" s="36"/>
    </row>
    <row r="342" spans="1:77" x14ac:dyDescent="0.35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</row>
    <row r="343" spans="1:77" x14ac:dyDescent="0.35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</row>
    <row r="344" spans="1:77" x14ac:dyDescent="0.35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</row>
    <row r="345" spans="1:77" x14ac:dyDescent="0.35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/>
      <c r="BQ345" s="36"/>
      <c r="BR345" s="36"/>
      <c r="BS345" s="36"/>
      <c r="BT345" s="36"/>
      <c r="BU345" s="36"/>
      <c r="BV345" s="36"/>
      <c r="BW345" s="36"/>
      <c r="BX345" s="36"/>
      <c r="BY345" s="36"/>
    </row>
    <row r="346" spans="1:77" x14ac:dyDescent="0.35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</row>
    <row r="347" spans="1:77" x14ac:dyDescent="0.35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/>
      <c r="BU347" s="36"/>
      <c r="BV347" s="36"/>
      <c r="BW347" s="36"/>
      <c r="BX347" s="36"/>
      <c r="BY347" s="36"/>
    </row>
    <row r="348" spans="1:77" x14ac:dyDescent="0.35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</row>
    <row r="349" spans="1:77" x14ac:dyDescent="0.35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</row>
    <row r="350" spans="1:77" x14ac:dyDescent="0.35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</row>
    <row r="351" spans="1:77" x14ac:dyDescent="0.35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</row>
    <row r="352" spans="1:77" x14ac:dyDescent="0.35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</row>
    <row r="353" spans="1:77" x14ac:dyDescent="0.35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</row>
    <row r="354" spans="1:77" x14ac:dyDescent="0.35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</row>
    <row r="355" spans="1:77" x14ac:dyDescent="0.35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</row>
    <row r="356" spans="1:77" x14ac:dyDescent="0.35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/>
      <c r="BU356" s="36"/>
      <c r="BV356" s="36"/>
      <c r="BW356" s="36"/>
      <c r="BX356" s="36"/>
      <c r="BY356" s="36"/>
    </row>
    <row r="357" spans="1:77" x14ac:dyDescent="0.35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/>
      <c r="BU357" s="36"/>
      <c r="BV357" s="36"/>
      <c r="BW357" s="36"/>
      <c r="BX357" s="36"/>
      <c r="BY357" s="36"/>
    </row>
    <row r="358" spans="1:77" x14ac:dyDescent="0.35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/>
      <c r="BQ358" s="36"/>
      <c r="BR358" s="36"/>
      <c r="BS358" s="36"/>
      <c r="BT358" s="36"/>
      <c r="BU358" s="36"/>
      <c r="BV358" s="36"/>
      <c r="BW358" s="36"/>
      <c r="BX358" s="36"/>
      <c r="BY358" s="36"/>
    </row>
    <row r="359" spans="1:77" x14ac:dyDescent="0.35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  <c r="BT359" s="36"/>
      <c r="BU359" s="36"/>
      <c r="BV359" s="36"/>
      <c r="BW359" s="36"/>
      <c r="BX359" s="36"/>
      <c r="BY359" s="36"/>
    </row>
    <row r="360" spans="1:77" x14ac:dyDescent="0.35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</row>
    <row r="361" spans="1:77" x14ac:dyDescent="0.35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</row>
    <row r="362" spans="1:77" x14ac:dyDescent="0.35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</row>
    <row r="363" spans="1:77" x14ac:dyDescent="0.35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  <c r="BQ363" s="36"/>
      <c r="BR363" s="36"/>
      <c r="BS363" s="36"/>
      <c r="BT363" s="36"/>
      <c r="BU363" s="36"/>
      <c r="BV363" s="36"/>
      <c r="BW363" s="36"/>
      <c r="BX363" s="36"/>
      <c r="BY363" s="36"/>
    </row>
    <row r="364" spans="1:77" x14ac:dyDescent="0.35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  <c r="BQ364" s="36"/>
      <c r="BR364" s="36"/>
      <c r="BS364" s="36"/>
      <c r="BT364" s="36"/>
      <c r="BU364" s="36"/>
      <c r="BV364" s="36"/>
      <c r="BW364" s="36"/>
      <c r="BX364" s="36"/>
      <c r="BY364" s="36"/>
    </row>
    <row r="365" spans="1:77" x14ac:dyDescent="0.35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  <c r="BT365" s="36"/>
      <c r="BU365" s="36"/>
      <c r="BV365" s="36"/>
      <c r="BW365" s="36"/>
      <c r="BX365" s="36"/>
      <c r="BY365" s="36"/>
    </row>
    <row r="366" spans="1:77" x14ac:dyDescent="0.35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</row>
    <row r="367" spans="1:77" x14ac:dyDescent="0.35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  <c r="BO367" s="36"/>
      <c r="BP367" s="36"/>
      <c r="BQ367" s="36"/>
      <c r="BR367" s="36"/>
      <c r="BS367" s="36"/>
      <c r="BT367" s="36"/>
      <c r="BU367" s="36"/>
      <c r="BV367" s="36"/>
      <c r="BW367" s="36"/>
      <c r="BX367" s="36"/>
      <c r="BY367" s="36"/>
    </row>
    <row r="368" spans="1:77" x14ac:dyDescent="0.35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/>
      <c r="BQ368" s="36"/>
      <c r="BR368" s="36"/>
      <c r="BS368" s="36"/>
      <c r="BT368" s="36"/>
      <c r="BU368" s="36"/>
      <c r="BV368" s="36"/>
      <c r="BW368" s="36"/>
      <c r="BX368" s="36"/>
      <c r="BY368" s="36"/>
    </row>
    <row r="369" spans="1:77" x14ac:dyDescent="0.35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  <c r="BT369" s="36"/>
      <c r="BU369" s="36"/>
      <c r="BV369" s="36"/>
      <c r="BW369" s="36"/>
      <c r="BX369" s="36"/>
      <c r="BY369" s="36"/>
    </row>
    <row r="370" spans="1:77" x14ac:dyDescent="0.35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/>
      <c r="BX370" s="36"/>
      <c r="BY370" s="36"/>
    </row>
    <row r="371" spans="1:77" x14ac:dyDescent="0.35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/>
      <c r="BQ371" s="36"/>
      <c r="BR371" s="36"/>
      <c r="BS371" s="36"/>
      <c r="BT371" s="36"/>
      <c r="BU371" s="36"/>
      <c r="BV371" s="36"/>
      <c r="BW371" s="36"/>
      <c r="BX371" s="36"/>
      <c r="BY371" s="36"/>
    </row>
    <row r="372" spans="1:77" x14ac:dyDescent="0.35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/>
      <c r="BQ372" s="36"/>
      <c r="BR372" s="36"/>
      <c r="BS372" s="36"/>
      <c r="BT372" s="36"/>
      <c r="BU372" s="36"/>
      <c r="BV372" s="36"/>
      <c r="BW372" s="36"/>
      <c r="BX372" s="36"/>
      <c r="BY372" s="36"/>
    </row>
    <row r="373" spans="1:77" x14ac:dyDescent="0.35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  <c r="BT373" s="36"/>
      <c r="BU373" s="36"/>
      <c r="BV373" s="36"/>
      <c r="BW373" s="36"/>
      <c r="BX373" s="36"/>
      <c r="BY373" s="36"/>
    </row>
    <row r="374" spans="1:77" x14ac:dyDescent="0.35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</row>
    <row r="375" spans="1:77" x14ac:dyDescent="0.35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</row>
    <row r="376" spans="1:77" x14ac:dyDescent="0.35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  <c r="BO376" s="36"/>
      <c r="BP376" s="36"/>
      <c r="BQ376" s="36"/>
      <c r="BR376" s="36"/>
      <c r="BS376" s="36"/>
      <c r="BT376" s="36"/>
      <c r="BU376" s="36"/>
      <c r="BV376" s="36"/>
      <c r="BW376" s="36"/>
      <c r="BX376" s="36"/>
      <c r="BY376" s="36"/>
    </row>
    <row r="377" spans="1:77" x14ac:dyDescent="0.35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  <c r="BQ377" s="36"/>
      <c r="BR377" s="36"/>
      <c r="BS377" s="36"/>
      <c r="BT377" s="36"/>
      <c r="BU377" s="36"/>
      <c r="BV377" s="36"/>
      <c r="BW377" s="36"/>
      <c r="BX377" s="36"/>
      <c r="BY377" s="36"/>
    </row>
    <row r="378" spans="1:77" x14ac:dyDescent="0.35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  <c r="BT378" s="36"/>
      <c r="BU378" s="36"/>
      <c r="BV378" s="36"/>
      <c r="BW378" s="36"/>
      <c r="BX378" s="36"/>
      <c r="BY378" s="36"/>
    </row>
    <row r="379" spans="1:77" x14ac:dyDescent="0.35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  <c r="BO379" s="36"/>
      <c r="BP379" s="36"/>
      <c r="BQ379" s="36"/>
      <c r="BR379" s="36"/>
      <c r="BS379" s="36"/>
      <c r="BT379" s="36"/>
      <c r="BU379" s="36"/>
      <c r="BV379" s="36"/>
      <c r="BW379" s="36"/>
      <c r="BX379" s="36"/>
      <c r="BY379" s="36"/>
    </row>
    <row r="380" spans="1:77" x14ac:dyDescent="0.35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  <c r="BQ380" s="36"/>
      <c r="BR380" s="36"/>
      <c r="BS380" s="36"/>
      <c r="BT380" s="36"/>
      <c r="BU380" s="36"/>
      <c r="BV380" s="36"/>
      <c r="BW380" s="36"/>
      <c r="BX380" s="36"/>
      <c r="BY380" s="36"/>
    </row>
    <row r="381" spans="1:77" x14ac:dyDescent="0.35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  <c r="BQ381" s="36"/>
      <c r="BR381" s="36"/>
      <c r="BS381" s="36"/>
      <c r="BT381" s="36"/>
      <c r="BU381" s="36"/>
      <c r="BV381" s="36"/>
      <c r="BW381" s="36"/>
      <c r="BX381" s="36"/>
      <c r="BY381" s="36"/>
    </row>
    <row r="382" spans="1:77" x14ac:dyDescent="0.35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  <c r="BO382" s="36"/>
      <c r="BP382" s="36"/>
      <c r="BQ382" s="36"/>
      <c r="BR382" s="36"/>
      <c r="BS382" s="36"/>
      <c r="BT382" s="36"/>
      <c r="BU382" s="36"/>
      <c r="BV382" s="36"/>
      <c r="BW382" s="36"/>
      <c r="BX382" s="36"/>
      <c r="BY382" s="36"/>
    </row>
    <row r="383" spans="1:77" x14ac:dyDescent="0.35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  <c r="BQ383" s="36"/>
      <c r="BR383" s="36"/>
      <c r="BS383" s="36"/>
      <c r="BT383" s="36"/>
      <c r="BU383" s="36"/>
      <c r="BV383" s="36"/>
      <c r="BW383" s="36"/>
      <c r="BX383" s="36"/>
      <c r="BY383" s="36"/>
    </row>
    <row r="384" spans="1:77" x14ac:dyDescent="0.35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  <c r="BQ384" s="36"/>
      <c r="BR384" s="36"/>
      <c r="BS384" s="36"/>
      <c r="BT384" s="36"/>
      <c r="BU384" s="36"/>
      <c r="BV384" s="36"/>
      <c r="BW384" s="36"/>
      <c r="BX384" s="36"/>
      <c r="BY384" s="36"/>
    </row>
    <row r="385" spans="1:77" x14ac:dyDescent="0.3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  <c r="BQ385" s="36"/>
      <c r="BR385" s="36"/>
      <c r="BS385" s="36"/>
      <c r="BT385" s="36"/>
      <c r="BU385" s="36"/>
      <c r="BV385" s="36"/>
      <c r="BW385" s="36"/>
      <c r="BX385" s="36"/>
      <c r="BY385" s="36"/>
    </row>
    <row r="386" spans="1:77" x14ac:dyDescent="0.35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/>
      <c r="BS386" s="36"/>
      <c r="BT386" s="36"/>
      <c r="BU386" s="36"/>
      <c r="BV386" s="36"/>
      <c r="BW386" s="36"/>
      <c r="BX386" s="36"/>
      <c r="BY386" s="36"/>
    </row>
    <row r="387" spans="1:77" x14ac:dyDescent="0.35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  <c r="BO387" s="36"/>
      <c r="BP387" s="36"/>
      <c r="BQ387" s="36"/>
      <c r="BR387" s="36"/>
      <c r="BS387" s="36"/>
      <c r="BT387" s="36"/>
      <c r="BU387" s="36"/>
      <c r="BV387" s="36"/>
      <c r="BW387" s="36"/>
      <c r="BX387" s="36"/>
      <c r="BY387" s="36"/>
    </row>
    <row r="388" spans="1:77" x14ac:dyDescent="0.35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  <c r="BO388" s="36"/>
      <c r="BP388" s="36"/>
      <c r="BQ388" s="36"/>
      <c r="BR388" s="36"/>
      <c r="BS388" s="36"/>
      <c r="BT388" s="36"/>
      <c r="BU388" s="36"/>
      <c r="BV388" s="36"/>
      <c r="BW388" s="36"/>
      <c r="BX388" s="36"/>
      <c r="BY388" s="36"/>
    </row>
    <row r="389" spans="1:77" x14ac:dyDescent="0.35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  <c r="BQ389" s="36"/>
      <c r="BR389" s="36"/>
      <c r="BS389" s="36"/>
      <c r="BT389" s="36"/>
      <c r="BU389" s="36"/>
      <c r="BV389" s="36"/>
      <c r="BW389" s="36"/>
      <c r="BX389" s="36"/>
      <c r="BY389" s="36"/>
    </row>
    <row r="390" spans="1:77" x14ac:dyDescent="0.35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  <c r="BO390" s="36"/>
      <c r="BP390" s="36"/>
      <c r="BQ390" s="36"/>
      <c r="BR390" s="36"/>
      <c r="BS390" s="36"/>
      <c r="BT390" s="36"/>
      <c r="BU390" s="36"/>
      <c r="BV390" s="36"/>
      <c r="BW390" s="36"/>
      <c r="BX390" s="36"/>
      <c r="BY390" s="36"/>
    </row>
    <row r="391" spans="1:77" x14ac:dyDescent="0.35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  <c r="BO391" s="36"/>
      <c r="BP391" s="36"/>
      <c r="BQ391" s="36"/>
      <c r="BR391" s="36"/>
      <c r="BS391" s="36"/>
      <c r="BT391" s="36"/>
      <c r="BU391" s="36"/>
      <c r="BV391" s="36"/>
      <c r="BW391" s="36"/>
      <c r="BX391" s="36"/>
      <c r="BY391" s="36"/>
    </row>
    <row r="392" spans="1:77" x14ac:dyDescent="0.35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36"/>
      <c r="BU392" s="36"/>
      <c r="BV392" s="36"/>
      <c r="BW392" s="36"/>
      <c r="BX392" s="36"/>
      <c r="BY392" s="36"/>
    </row>
    <row r="393" spans="1:77" x14ac:dyDescent="0.35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  <c r="BQ393" s="36"/>
      <c r="BR393" s="36"/>
      <c r="BS393" s="36"/>
      <c r="BT393" s="36"/>
      <c r="BU393" s="36"/>
      <c r="BV393" s="36"/>
      <c r="BW393" s="36"/>
      <c r="BX393" s="36"/>
      <c r="BY393" s="36"/>
    </row>
    <row r="394" spans="1:77" x14ac:dyDescent="0.35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  <c r="BQ394" s="36"/>
      <c r="BR394" s="36"/>
      <c r="BS394" s="36"/>
      <c r="BT394" s="36"/>
      <c r="BU394" s="36"/>
      <c r="BV394" s="36"/>
      <c r="BW394" s="36"/>
      <c r="BX394" s="36"/>
      <c r="BY394" s="36"/>
    </row>
    <row r="395" spans="1:77" x14ac:dyDescent="0.35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  <c r="BQ395" s="36"/>
      <c r="BR395" s="36"/>
      <c r="BS395" s="36"/>
      <c r="BT395" s="36"/>
      <c r="BU395" s="36"/>
      <c r="BV395" s="36"/>
      <c r="BW395" s="36"/>
      <c r="BX395" s="36"/>
      <c r="BY395" s="36"/>
    </row>
    <row r="396" spans="1:77" x14ac:dyDescent="0.35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  <c r="BO396" s="36"/>
      <c r="BP396" s="36"/>
      <c r="BQ396" s="36"/>
      <c r="BR396" s="36"/>
      <c r="BS396" s="36"/>
      <c r="BT396" s="36"/>
      <c r="BU396" s="36"/>
      <c r="BV396" s="36"/>
      <c r="BW396" s="36"/>
      <c r="BX396" s="36"/>
      <c r="BY396" s="36"/>
    </row>
    <row r="397" spans="1:77" x14ac:dyDescent="0.35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  <c r="BO397" s="36"/>
      <c r="BP397" s="36"/>
      <c r="BQ397" s="36"/>
      <c r="BR397" s="36"/>
      <c r="BS397" s="36"/>
      <c r="BT397" s="36"/>
      <c r="BU397" s="36"/>
      <c r="BV397" s="36"/>
      <c r="BW397" s="36"/>
      <c r="BX397" s="36"/>
      <c r="BY397" s="36"/>
    </row>
    <row r="398" spans="1:77" x14ac:dyDescent="0.35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  <c r="BO398" s="36"/>
      <c r="BP398" s="36"/>
      <c r="BQ398" s="36"/>
      <c r="BR398" s="36"/>
      <c r="BS398" s="36"/>
      <c r="BT398" s="36"/>
      <c r="BU398" s="36"/>
      <c r="BV398" s="36"/>
      <c r="BW398" s="36"/>
      <c r="BX398" s="36"/>
      <c r="BY398" s="36"/>
    </row>
    <row r="399" spans="1:77" x14ac:dyDescent="0.35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  <c r="BQ399" s="36"/>
      <c r="BR399" s="36"/>
      <c r="BS399" s="36"/>
      <c r="BT399" s="36"/>
      <c r="BU399" s="36"/>
      <c r="BV399" s="36"/>
      <c r="BW399" s="36"/>
      <c r="BX399" s="36"/>
      <c r="BY399" s="36"/>
    </row>
    <row r="400" spans="1:77" x14ac:dyDescent="0.35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  <c r="BO400" s="36"/>
      <c r="BP400" s="36"/>
      <c r="BQ400" s="36"/>
      <c r="BR400" s="36"/>
      <c r="BS400" s="36"/>
      <c r="BT400" s="36"/>
      <c r="BU400" s="36"/>
      <c r="BV400" s="36"/>
      <c r="BW400" s="36"/>
      <c r="BX400" s="36"/>
      <c r="BY400" s="36"/>
    </row>
    <row r="401" spans="1:77" x14ac:dyDescent="0.35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  <c r="BO401" s="36"/>
      <c r="BP401" s="36"/>
      <c r="BQ401" s="36"/>
      <c r="BR401" s="36"/>
      <c r="BS401" s="36"/>
      <c r="BT401" s="36"/>
      <c r="BU401" s="36"/>
      <c r="BV401" s="36"/>
      <c r="BW401" s="36"/>
      <c r="BX401" s="36"/>
      <c r="BY401" s="36"/>
    </row>
    <row r="402" spans="1:77" x14ac:dyDescent="0.35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  <c r="BO402" s="36"/>
      <c r="BP402" s="36"/>
      <c r="BQ402" s="36"/>
      <c r="BR402" s="36"/>
      <c r="BS402" s="36"/>
      <c r="BT402" s="36"/>
      <c r="BU402" s="36"/>
      <c r="BV402" s="36"/>
      <c r="BW402" s="36"/>
      <c r="BX402" s="36"/>
      <c r="BY402" s="36"/>
    </row>
    <row r="403" spans="1:77" x14ac:dyDescent="0.35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  <c r="BO403" s="36"/>
      <c r="BP403" s="36"/>
      <c r="BQ403" s="36"/>
      <c r="BR403" s="36"/>
      <c r="BS403" s="36"/>
      <c r="BT403" s="36"/>
      <c r="BU403" s="36"/>
      <c r="BV403" s="36"/>
      <c r="BW403" s="36"/>
      <c r="BX403" s="36"/>
      <c r="BY403" s="36"/>
    </row>
    <row r="404" spans="1:77" x14ac:dyDescent="0.35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  <c r="BO404" s="36"/>
      <c r="BP404" s="36"/>
      <c r="BQ404" s="36"/>
      <c r="BR404" s="36"/>
      <c r="BS404" s="36"/>
      <c r="BT404" s="36"/>
      <c r="BU404" s="36"/>
      <c r="BV404" s="36"/>
      <c r="BW404" s="36"/>
      <c r="BX404" s="36"/>
      <c r="BY404" s="36"/>
    </row>
    <row r="405" spans="1:77" x14ac:dyDescent="0.35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  <c r="BQ405" s="36"/>
      <c r="BR405" s="36"/>
      <c r="BS405" s="36"/>
      <c r="BT405" s="36"/>
      <c r="BU405" s="36"/>
      <c r="BV405" s="36"/>
      <c r="BW405" s="36"/>
      <c r="BX405" s="36"/>
      <c r="BY405" s="36"/>
    </row>
    <row r="406" spans="1:77" x14ac:dyDescent="0.35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  <c r="BO406" s="36"/>
      <c r="BP406" s="36"/>
      <c r="BQ406" s="36"/>
      <c r="BR406" s="36"/>
      <c r="BS406" s="36"/>
      <c r="BT406" s="36"/>
      <c r="BU406" s="36"/>
      <c r="BV406" s="36"/>
      <c r="BW406" s="36"/>
      <c r="BX406" s="36"/>
      <c r="BY406" s="36"/>
    </row>
    <row r="407" spans="1:77" x14ac:dyDescent="0.35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  <c r="BO407" s="36"/>
      <c r="BP407" s="36"/>
      <c r="BQ407" s="36"/>
      <c r="BR407" s="36"/>
      <c r="BS407" s="36"/>
      <c r="BT407" s="36"/>
      <c r="BU407" s="36"/>
      <c r="BV407" s="36"/>
      <c r="BW407" s="36"/>
      <c r="BX407" s="36"/>
      <c r="BY407" s="36"/>
    </row>
    <row r="408" spans="1:77" x14ac:dyDescent="0.35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/>
      <c r="BO408" s="36"/>
      <c r="BP408" s="36"/>
      <c r="BQ408" s="36"/>
      <c r="BR408" s="36"/>
      <c r="BS408" s="36"/>
      <c r="BT408" s="36"/>
      <c r="BU408" s="36"/>
      <c r="BV408" s="36"/>
      <c r="BW408" s="36"/>
      <c r="BX408" s="36"/>
      <c r="BY408" s="36"/>
    </row>
    <row r="409" spans="1:77" x14ac:dyDescent="0.35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  <c r="BO409" s="36"/>
      <c r="BP409" s="36"/>
      <c r="BQ409" s="36"/>
      <c r="BR409" s="36"/>
      <c r="BS409" s="36"/>
      <c r="BT409" s="36"/>
      <c r="BU409" s="36"/>
      <c r="BV409" s="36"/>
      <c r="BW409" s="36"/>
      <c r="BX409" s="36"/>
      <c r="BY409" s="36"/>
    </row>
    <row r="410" spans="1:77" x14ac:dyDescent="0.35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/>
      <c r="BO410" s="36"/>
      <c r="BP410" s="36"/>
      <c r="BQ410" s="36"/>
      <c r="BR410" s="36"/>
      <c r="BS410" s="36"/>
      <c r="BT410" s="36"/>
      <c r="BU410" s="36"/>
      <c r="BV410" s="36"/>
      <c r="BW410" s="36"/>
      <c r="BX410" s="36"/>
      <c r="BY410" s="36"/>
    </row>
    <row r="411" spans="1:77" x14ac:dyDescent="0.35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  <c r="BO411" s="36"/>
      <c r="BP411" s="36"/>
      <c r="BQ411" s="36"/>
      <c r="BR411" s="36"/>
      <c r="BS411" s="36"/>
      <c r="BT411" s="36"/>
      <c r="BU411" s="36"/>
      <c r="BV411" s="36"/>
      <c r="BW411" s="36"/>
      <c r="BX411" s="36"/>
      <c r="BY411" s="36"/>
    </row>
    <row r="412" spans="1:77" x14ac:dyDescent="0.35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  <c r="BO412" s="36"/>
      <c r="BP412" s="36"/>
      <c r="BQ412" s="36"/>
      <c r="BR412" s="36"/>
      <c r="BS412" s="36"/>
      <c r="BT412" s="36"/>
      <c r="BU412" s="36"/>
      <c r="BV412" s="36"/>
      <c r="BW412" s="36"/>
      <c r="BX412" s="36"/>
      <c r="BY412" s="36"/>
    </row>
    <row r="413" spans="1:77" x14ac:dyDescent="0.35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  <c r="BO413" s="36"/>
      <c r="BP413" s="36"/>
      <c r="BQ413" s="36"/>
      <c r="BR413" s="36"/>
      <c r="BS413" s="36"/>
      <c r="BT413" s="36"/>
      <c r="BU413" s="36"/>
      <c r="BV413" s="36"/>
      <c r="BW413" s="36"/>
      <c r="BX413" s="36"/>
      <c r="BY413" s="36"/>
    </row>
    <row r="414" spans="1:77" x14ac:dyDescent="0.35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  <c r="BO414" s="36"/>
      <c r="BP414" s="36"/>
      <c r="BQ414" s="36"/>
      <c r="BR414" s="36"/>
      <c r="BS414" s="36"/>
      <c r="BT414" s="36"/>
      <c r="BU414" s="36"/>
      <c r="BV414" s="36"/>
      <c r="BW414" s="36"/>
      <c r="BX414" s="36"/>
      <c r="BY414" s="36"/>
    </row>
    <row r="415" spans="1:77" x14ac:dyDescent="0.35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  <c r="BO415" s="36"/>
      <c r="BP415" s="36"/>
      <c r="BQ415" s="36"/>
      <c r="BR415" s="36"/>
      <c r="BS415" s="36"/>
      <c r="BT415" s="36"/>
      <c r="BU415" s="36"/>
      <c r="BV415" s="36"/>
      <c r="BW415" s="36"/>
      <c r="BX415" s="36"/>
      <c r="BY415" s="36"/>
    </row>
    <row r="416" spans="1:77" x14ac:dyDescent="0.35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  <c r="BO416" s="36"/>
      <c r="BP416" s="36"/>
      <c r="BQ416" s="36"/>
      <c r="BR416" s="36"/>
      <c r="BS416" s="36"/>
      <c r="BT416" s="36"/>
      <c r="BU416" s="36"/>
      <c r="BV416" s="36"/>
      <c r="BW416" s="36"/>
      <c r="BX416" s="36"/>
      <c r="BY416" s="36"/>
    </row>
    <row r="417" spans="1:77" x14ac:dyDescent="0.35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  <c r="BN417" s="36"/>
      <c r="BO417" s="36"/>
      <c r="BP417" s="36"/>
      <c r="BQ417" s="36"/>
      <c r="BR417" s="36"/>
      <c r="BS417" s="36"/>
      <c r="BT417" s="36"/>
      <c r="BU417" s="36"/>
      <c r="BV417" s="36"/>
      <c r="BW417" s="36"/>
      <c r="BX417" s="36"/>
      <c r="BY417" s="36"/>
    </row>
    <row r="418" spans="1:77" x14ac:dyDescent="0.35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  <c r="BO418" s="36"/>
      <c r="BP418" s="36"/>
      <c r="BQ418" s="36"/>
      <c r="BR418" s="36"/>
      <c r="BS418" s="36"/>
      <c r="BT418" s="36"/>
      <c r="BU418" s="36"/>
      <c r="BV418" s="36"/>
      <c r="BW418" s="36"/>
      <c r="BX418" s="36"/>
      <c r="BY418" s="36"/>
    </row>
    <row r="419" spans="1:77" x14ac:dyDescent="0.35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  <c r="BO419" s="36"/>
      <c r="BP419" s="36"/>
      <c r="BQ419" s="36"/>
      <c r="BR419" s="36"/>
      <c r="BS419" s="36"/>
      <c r="BT419" s="36"/>
      <c r="BU419" s="36"/>
      <c r="BV419" s="36"/>
      <c r="BW419" s="36"/>
      <c r="BX419" s="36"/>
      <c r="BY419" s="36"/>
    </row>
    <row r="420" spans="1:77" x14ac:dyDescent="0.35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  <c r="BO420" s="36"/>
      <c r="BP420" s="36"/>
      <c r="BQ420" s="36"/>
      <c r="BR420" s="36"/>
      <c r="BS420" s="36"/>
      <c r="BT420" s="36"/>
      <c r="BU420" s="36"/>
      <c r="BV420" s="36"/>
      <c r="BW420" s="36"/>
      <c r="BX420" s="36"/>
      <c r="BY420" s="36"/>
    </row>
    <row r="421" spans="1:77" x14ac:dyDescent="0.35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  <c r="BO421" s="36"/>
      <c r="BP421" s="36"/>
      <c r="BQ421" s="36"/>
      <c r="BR421" s="36"/>
      <c r="BS421" s="36"/>
      <c r="BT421" s="36"/>
      <c r="BU421" s="36"/>
      <c r="BV421" s="36"/>
      <c r="BW421" s="36"/>
      <c r="BX421" s="36"/>
      <c r="BY421" s="36"/>
    </row>
    <row r="422" spans="1:77" x14ac:dyDescent="0.35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  <c r="BO422" s="36"/>
      <c r="BP422" s="36"/>
      <c r="BQ422" s="36"/>
      <c r="BR422" s="36"/>
      <c r="BS422" s="36"/>
      <c r="BT422" s="36"/>
      <c r="BU422" s="36"/>
      <c r="BV422" s="36"/>
      <c r="BW422" s="36"/>
      <c r="BX422" s="36"/>
      <c r="BY422" s="36"/>
    </row>
    <row r="423" spans="1:77" x14ac:dyDescent="0.35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  <c r="BO423" s="36"/>
      <c r="BP423" s="36"/>
      <c r="BQ423" s="36"/>
      <c r="BR423" s="36"/>
      <c r="BS423" s="36"/>
      <c r="BT423" s="36"/>
      <c r="BU423" s="36"/>
      <c r="BV423" s="36"/>
      <c r="BW423" s="36"/>
      <c r="BX423" s="36"/>
      <c r="BY423" s="36"/>
    </row>
    <row r="424" spans="1:77" x14ac:dyDescent="0.35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  <c r="BO424" s="36"/>
      <c r="BP424" s="36"/>
      <c r="BQ424" s="36"/>
      <c r="BR424" s="36"/>
      <c r="BS424" s="36"/>
      <c r="BT424" s="36"/>
      <c r="BU424" s="36"/>
      <c r="BV424" s="36"/>
      <c r="BW424" s="36"/>
      <c r="BX424" s="36"/>
      <c r="BY424" s="36"/>
    </row>
    <row r="425" spans="1:77" x14ac:dyDescent="0.35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  <c r="BO425" s="36"/>
      <c r="BP425" s="36"/>
      <c r="BQ425" s="36"/>
      <c r="BR425" s="36"/>
      <c r="BS425" s="36"/>
      <c r="BT425" s="36"/>
      <c r="BU425" s="36"/>
      <c r="BV425" s="36"/>
      <c r="BW425" s="36"/>
      <c r="BX425" s="36"/>
      <c r="BY425" s="36"/>
    </row>
    <row r="426" spans="1:77" x14ac:dyDescent="0.35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  <c r="BO426" s="36"/>
      <c r="BP426" s="36"/>
      <c r="BQ426" s="36"/>
      <c r="BR426" s="36"/>
      <c r="BS426" s="36"/>
      <c r="BT426" s="36"/>
      <c r="BU426" s="36"/>
      <c r="BV426" s="36"/>
      <c r="BW426" s="36"/>
      <c r="BX426" s="36"/>
      <c r="BY426" s="36"/>
    </row>
    <row r="427" spans="1:77" x14ac:dyDescent="0.35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  <c r="BO427" s="36"/>
      <c r="BP427" s="36"/>
      <c r="BQ427" s="36"/>
      <c r="BR427" s="36"/>
      <c r="BS427" s="36"/>
      <c r="BT427" s="36"/>
      <c r="BU427" s="36"/>
      <c r="BV427" s="36"/>
      <c r="BW427" s="36"/>
      <c r="BX427" s="36"/>
      <c r="BY427" s="36"/>
    </row>
    <row r="428" spans="1:77" x14ac:dyDescent="0.35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/>
      <c r="BO428" s="36"/>
      <c r="BP428" s="36"/>
      <c r="BQ428" s="36"/>
      <c r="BR428" s="36"/>
      <c r="BS428" s="36"/>
      <c r="BT428" s="36"/>
      <c r="BU428" s="36"/>
      <c r="BV428" s="36"/>
      <c r="BW428" s="36"/>
      <c r="BX428" s="36"/>
      <c r="BY428" s="36"/>
    </row>
    <row r="429" spans="1:77" x14ac:dyDescent="0.35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  <c r="BN429" s="36"/>
      <c r="BO429" s="36"/>
      <c r="BP429" s="36"/>
      <c r="BQ429" s="36"/>
      <c r="BR429" s="36"/>
      <c r="BS429" s="36"/>
      <c r="BT429" s="36"/>
      <c r="BU429" s="36"/>
      <c r="BV429" s="36"/>
      <c r="BW429" s="36"/>
      <c r="BX429" s="36"/>
      <c r="BY429" s="36"/>
    </row>
    <row r="430" spans="1:77" x14ac:dyDescent="0.35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  <c r="BO430" s="36"/>
      <c r="BP430" s="36"/>
      <c r="BQ430" s="36"/>
      <c r="BR430" s="36"/>
      <c r="BS430" s="36"/>
      <c r="BT430" s="36"/>
      <c r="BU430" s="36"/>
      <c r="BV430" s="36"/>
      <c r="BW430" s="36"/>
      <c r="BX430" s="36"/>
      <c r="BY430" s="36"/>
    </row>
    <row r="431" spans="1:77" x14ac:dyDescent="0.35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  <c r="BO431" s="36"/>
      <c r="BP431" s="36"/>
      <c r="BQ431" s="36"/>
      <c r="BR431" s="36"/>
      <c r="BS431" s="36"/>
      <c r="BT431" s="36"/>
      <c r="BU431" s="36"/>
      <c r="BV431" s="36"/>
      <c r="BW431" s="36"/>
      <c r="BX431" s="36"/>
      <c r="BY431" s="36"/>
    </row>
    <row r="432" spans="1:77" x14ac:dyDescent="0.35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  <c r="BO432" s="36"/>
      <c r="BP432" s="36"/>
      <c r="BQ432" s="36"/>
      <c r="BR432" s="36"/>
      <c r="BS432" s="36"/>
      <c r="BT432" s="36"/>
      <c r="BU432" s="36"/>
      <c r="BV432" s="36"/>
      <c r="BW432" s="36"/>
      <c r="BX432" s="36"/>
      <c r="BY432" s="36"/>
    </row>
    <row r="433" spans="1:77" x14ac:dyDescent="0.35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  <c r="BO433" s="36"/>
      <c r="BP433" s="36"/>
      <c r="BQ433" s="36"/>
      <c r="BR433" s="36"/>
      <c r="BS433" s="36"/>
      <c r="BT433" s="36"/>
      <c r="BU433" s="36"/>
      <c r="BV433" s="36"/>
      <c r="BW433" s="36"/>
      <c r="BX433" s="36"/>
      <c r="BY433" s="36"/>
    </row>
    <row r="434" spans="1:77" x14ac:dyDescent="0.35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  <c r="BN434" s="36"/>
      <c r="BO434" s="36"/>
      <c r="BP434" s="36"/>
      <c r="BQ434" s="36"/>
      <c r="BR434" s="36"/>
      <c r="BS434" s="36"/>
      <c r="BT434" s="36"/>
      <c r="BU434" s="36"/>
      <c r="BV434" s="36"/>
      <c r="BW434" s="36"/>
      <c r="BX434" s="36"/>
      <c r="BY434" s="36"/>
    </row>
    <row r="435" spans="1:77" x14ac:dyDescent="0.35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  <c r="BO435" s="36"/>
      <c r="BP435" s="36"/>
      <c r="BQ435" s="36"/>
      <c r="BR435" s="36"/>
      <c r="BS435" s="36"/>
      <c r="BT435" s="36"/>
      <c r="BU435" s="36"/>
      <c r="BV435" s="36"/>
      <c r="BW435" s="36"/>
      <c r="BX435" s="36"/>
      <c r="BY435" s="36"/>
    </row>
    <row r="436" spans="1:77" x14ac:dyDescent="0.35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  <c r="BO436" s="36"/>
      <c r="BP436" s="36"/>
      <c r="BQ436" s="36"/>
      <c r="BR436" s="36"/>
      <c r="BS436" s="36"/>
      <c r="BT436" s="36"/>
      <c r="BU436" s="36"/>
      <c r="BV436" s="36"/>
      <c r="BW436" s="36"/>
      <c r="BX436" s="36"/>
      <c r="BY436" s="36"/>
    </row>
  </sheetData>
  <mergeCells count="4">
    <mergeCell ref="B39:N39"/>
    <mergeCell ref="B50:N50"/>
    <mergeCell ref="B12:N12"/>
    <mergeCell ref="B2:G6"/>
  </mergeCells>
  <conditionalFormatting sqref="C35">
    <cfRule type="cellIs" dxfId="7" priority="1" operator="equal">
      <formula>FALSE</formula>
    </cfRule>
    <cfRule type="containsText" dxfId="6" priority="2" operator="containsText" text="TRUE">
      <formula>NOT(ISERROR(SEARCH("TRUE",C35)))</formula>
    </cfRule>
  </conditionalFormatting>
  <conditionalFormatting sqref="D35">
    <cfRule type="cellIs" dxfId="5" priority="3" operator="equal">
      <formula>FALSE</formula>
    </cfRule>
    <cfRule type="containsText" dxfId="4" priority="4" operator="containsText" text="TRUE">
      <formula>NOT(ISERROR(SEARCH("TRUE",D35)))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E36DF-6691-8447-8668-7267AE1DA147}">
  <sheetPr>
    <tabColor theme="7" tint="0.59999389629810485"/>
  </sheetPr>
  <dimension ref="A1:E66"/>
  <sheetViews>
    <sheetView zoomScale="99" zoomScaleNormal="100" workbookViewId="0">
      <selection activeCell="A9" sqref="A9"/>
    </sheetView>
  </sheetViews>
  <sheetFormatPr defaultColWidth="10.83203125" defaultRowHeight="15.5" x14ac:dyDescent="0.35"/>
  <cols>
    <col min="1" max="1" width="66.33203125" style="47" bestFit="1" customWidth="1"/>
    <col min="2" max="2" width="18.33203125" style="83" bestFit="1" customWidth="1"/>
    <col min="3" max="3" width="55.1640625" style="49" customWidth="1"/>
    <col min="4" max="4" width="30.1640625" style="49" bestFit="1" customWidth="1"/>
    <col min="5" max="5" width="69.5" style="79" customWidth="1"/>
    <col min="6" max="16384" width="10.83203125" style="2"/>
  </cols>
  <sheetData>
    <row r="1" spans="1:5" x14ac:dyDescent="0.35">
      <c r="B1" s="81" t="s">
        <v>109</v>
      </c>
      <c r="C1" s="67" t="s">
        <v>110</v>
      </c>
      <c r="D1" s="67" t="s">
        <v>275</v>
      </c>
      <c r="E1" s="67" t="s">
        <v>267</v>
      </c>
    </row>
    <row r="2" spans="1:5" x14ac:dyDescent="0.35">
      <c r="A2" s="65" t="s">
        <v>27</v>
      </c>
      <c r="B2" s="82"/>
      <c r="C2" s="66"/>
      <c r="D2" s="66"/>
      <c r="E2" s="77"/>
    </row>
    <row r="3" spans="1:5" ht="31" x14ac:dyDescent="0.35">
      <c r="A3" s="47" t="s">
        <v>24</v>
      </c>
      <c r="B3" s="91">
        <v>3</v>
      </c>
      <c r="C3" s="49" t="s">
        <v>184</v>
      </c>
      <c r="D3" s="49">
        <v>3</v>
      </c>
      <c r="E3" s="80" t="s">
        <v>170</v>
      </c>
    </row>
    <row r="4" spans="1:5" x14ac:dyDescent="0.35">
      <c r="A4" s="2" t="s">
        <v>233</v>
      </c>
      <c r="B4" s="30">
        <v>120</v>
      </c>
      <c r="C4" s="2" t="s">
        <v>234</v>
      </c>
      <c r="D4" s="2">
        <v>120</v>
      </c>
      <c r="E4" s="53" t="s">
        <v>235</v>
      </c>
    </row>
    <row r="5" spans="1:5" x14ac:dyDescent="0.35">
      <c r="A5" s="1"/>
      <c r="B5" s="1"/>
      <c r="C5" s="1"/>
      <c r="D5" s="1"/>
      <c r="E5" s="6"/>
    </row>
    <row r="6" spans="1:5" x14ac:dyDescent="0.35">
      <c r="A6" s="65" t="s">
        <v>206</v>
      </c>
      <c r="B6" s="82"/>
      <c r="C6" s="66"/>
      <c r="D6" s="66"/>
      <c r="E6" s="88"/>
    </row>
    <row r="7" spans="1:5" ht="31" x14ac:dyDescent="0.35">
      <c r="A7" s="47" t="s">
        <v>37</v>
      </c>
      <c r="B7" s="92">
        <v>100000</v>
      </c>
      <c r="C7" s="49" t="s">
        <v>140</v>
      </c>
      <c r="D7" s="49" t="s">
        <v>144</v>
      </c>
      <c r="E7" s="78" t="s">
        <v>144</v>
      </c>
    </row>
    <row r="8" spans="1:5" ht="31" x14ac:dyDescent="0.35">
      <c r="A8" s="47" t="s">
        <v>41</v>
      </c>
      <c r="B8" s="92">
        <v>20</v>
      </c>
      <c r="C8" s="49" t="s">
        <v>143</v>
      </c>
      <c r="D8" s="49" t="s">
        <v>144</v>
      </c>
      <c r="E8" s="78" t="s">
        <v>144</v>
      </c>
    </row>
    <row r="9" spans="1:5" ht="46.5" x14ac:dyDescent="0.35">
      <c r="A9" s="47" t="s">
        <v>38</v>
      </c>
      <c r="B9" s="92" t="s">
        <v>256</v>
      </c>
      <c r="C9" s="49" t="s">
        <v>171</v>
      </c>
      <c r="D9" s="49" t="s">
        <v>144</v>
      </c>
      <c r="E9" s="78" t="s">
        <v>144</v>
      </c>
    </row>
    <row r="10" spans="1:5" ht="31" x14ac:dyDescent="0.35">
      <c r="A10" s="47" t="s">
        <v>209</v>
      </c>
      <c r="B10" s="92">
        <v>20</v>
      </c>
      <c r="C10" s="49" t="s">
        <v>172</v>
      </c>
      <c r="D10" s="49" t="s">
        <v>144</v>
      </c>
      <c r="E10" s="78" t="s">
        <v>144</v>
      </c>
    </row>
    <row r="11" spans="1:5" ht="31" x14ac:dyDescent="0.35">
      <c r="A11" s="47" t="s">
        <v>210</v>
      </c>
      <c r="B11" s="92">
        <v>5</v>
      </c>
      <c r="C11" s="49" t="s">
        <v>176</v>
      </c>
      <c r="D11" s="49" t="s">
        <v>144</v>
      </c>
      <c r="E11" s="78" t="s">
        <v>144</v>
      </c>
    </row>
    <row r="12" spans="1:5" ht="31" x14ac:dyDescent="0.35">
      <c r="A12" s="47" t="s">
        <v>211</v>
      </c>
      <c r="B12" s="92">
        <v>16</v>
      </c>
      <c r="C12" s="49" t="s">
        <v>177</v>
      </c>
      <c r="D12" s="49" t="s">
        <v>144</v>
      </c>
      <c r="E12" s="78" t="s">
        <v>144</v>
      </c>
    </row>
    <row r="13" spans="1:5" x14ac:dyDescent="0.35">
      <c r="E13" s="78"/>
    </row>
    <row r="14" spans="1:5" x14ac:dyDescent="0.35">
      <c r="A14" s="65" t="s">
        <v>207</v>
      </c>
      <c r="B14" s="82"/>
      <c r="C14" s="66"/>
      <c r="D14" s="66"/>
      <c r="E14" s="88"/>
    </row>
    <row r="15" spans="1:5" ht="62" x14ac:dyDescent="0.35">
      <c r="A15" s="50" t="s">
        <v>212</v>
      </c>
      <c r="B15" s="92" t="s">
        <v>245</v>
      </c>
      <c r="C15" s="49" t="s">
        <v>142</v>
      </c>
      <c r="D15" s="49" t="s">
        <v>245</v>
      </c>
      <c r="E15" s="80" t="s">
        <v>139</v>
      </c>
    </row>
    <row r="16" spans="1:5" ht="46.5" x14ac:dyDescent="0.35">
      <c r="A16" s="47" t="s">
        <v>129</v>
      </c>
      <c r="B16" s="92">
        <v>20</v>
      </c>
      <c r="C16" s="49" t="s">
        <v>154</v>
      </c>
      <c r="D16" s="49">
        <v>20</v>
      </c>
      <c r="E16" s="80" t="s">
        <v>153</v>
      </c>
    </row>
    <row r="17" spans="1:5" ht="46.5" x14ac:dyDescent="0.35">
      <c r="A17" s="47" t="s">
        <v>108</v>
      </c>
      <c r="B17" s="92">
        <v>80</v>
      </c>
      <c r="C17" s="49" t="s">
        <v>160</v>
      </c>
      <c r="D17" s="49" t="s">
        <v>144</v>
      </c>
      <c r="E17" s="78" t="s">
        <v>144</v>
      </c>
    </row>
    <row r="18" spans="1:5" ht="46.5" x14ac:dyDescent="0.35">
      <c r="A18" s="47" t="s">
        <v>6</v>
      </c>
      <c r="B18" s="92">
        <v>20</v>
      </c>
      <c r="C18" s="49" t="s">
        <v>169</v>
      </c>
      <c r="D18" s="49" t="s">
        <v>144</v>
      </c>
      <c r="E18" s="78" t="s">
        <v>144</v>
      </c>
    </row>
    <row r="19" spans="1:5" x14ac:dyDescent="0.35">
      <c r="A19" s="47" t="s">
        <v>161</v>
      </c>
      <c r="B19" s="46" t="b">
        <f>IF(SUM(B17:B18) = 100, TRUE, FALSE)</f>
        <v>1</v>
      </c>
      <c r="C19" s="49" t="s">
        <v>152</v>
      </c>
      <c r="E19" s="78" t="s">
        <v>144</v>
      </c>
    </row>
    <row r="20" spans="1:5" ht="46.5" x14ac:dyDescent="0.35">
      <c r="A20" s="47" t="s">
        <v>63</v>
      </c>
      <c r="B20" s="92">
        <v>2</v>
      </c>
      <c r="C20" s="49" t="s">
        <v>178</v>
      </c>
      <c r="D20" s="49" t="s">
        <v>144</v>
      </c>
      <c r="E20" s="78" t="s">
        <v>144</v>
      </c>
    </row>
    <row r="21" spans="1:5" x14ac:dyDescent="0.35">
      <c r="A21" s="47" t="s">
        <v>179</v>
      </c>
      <c r="B21" s="92">
        <v>10</v>
      </c>
      <c r="C21" s="49" t="s">
        <v>180</v>
      </c>
      <c r="D21" s="49" t="s">
        <v>276</v>
      </c>
      <c r="E21" s="78" t="s">
        <v>144</v>
      </c>
    </row>
    <row r="22" spans="1:5" ht="31" x14ac:dyDescent="0.35">
      <c r="A22" s="47" t="s">
        <v>181</v>
      </c>
      <c r="B22" s="91">
        <v>1.5</v>
      </c>
      <c r="C22" s="49" t="s">
        <v>182</v>
      </c>
      <c r="D22" s="49">
        <v>1.5</v>
      </c>
      <c r="E22" s="80" t="s">
        <v>168</v>
      </c>
    </row>
    <row r="23" spans="1:5" ht="31" x14ac:dyDescent="0.35">
      <c r="A23" s="47" t="s">
        <v>185</v>
      </c>
      <c r="B23" s="91">
        <v>30</v>
      </c>
      <c r="C23" s="49" t="s">
        <v>183</v>
      </c>
      <c r="D23" s="49">
        <v>30</v>
      </c>
      <c r="E23" s="80" t="s">
        <v>139</v>
      </c>
    </row>
    <row r="24" spans="1:5" x14ac:dyDescent="0.35">
      <c r="A24" s="1" t="s">
        <v>239</v>
      </c>
      <c r="B24" s="30">
        <v>300</v>
      </c>
      <c r="C24" s="1" t="s">
        <v>241</v>
      </c>
      <c r="D24" s="1">
        <v>300</v>
      </c>
      <c r="E24" s="53" t="s">
        <v>240</v>
      </c>
    </row>
    <row r="25" spans="1:5" x14ac:dyDescent="0.35">
      <c r="E25" s="78"/>
    </row>
    <row r="26" spans="1:5" x14ac:dyDescent="0.35">
      <c r="A26" s="65" t="s">
        <v>208</v>
      </c>
      <c r="B26" s="82"/>
      <c r="C26" s="66"/>
      <c r="D26" s="66"/>
      <c r="E26" s="88"/>
    </row>
    <row r="27" spans="1:5" ht="31" x14ac:dyDescent="0.35">
      <c r="A27" s="47" t="s">
        <v>103</v>
      </c>
      <c r="B27" s="92">
        <v>500</v>
      </c>
      <c r="C27" s="49" t="s">
        <v>186</v>
      </c>
      <c r="D27" s="49">
        <v>500</v>
      </c>
      <c r="E27" s="78" t="s">
        <v>144</v>
      </c>
    </row>
    <row r="28" spans="1:5" ht="62" x14ac:dyDescent="0.35">
      <c r="A28" s="47" t="s">
        <v>104</v>
      </c>
      <c r="B28" s="92">
        <v>50</v>
      </c>
      <c r="C28" s="49" t="s">
        <v>187</v>
      </c>
      <c r="D28" s="49">
        <v>50</v>
      </c>
      <c r="E28" s="78" t="s">
        <v>144</v>
      </c>
    </row>
    <row r="29" spans="1:5" ht="31" x14ac:dyDescent="0.35">
      <c r="A29" s="47" t="s">
        <v>188</v>
      </c>
      <c r="B29" s="92">
        <v>1.5</v>
      </c>
      <c r="C29" s="49" t="s">
        <v>189</v>
      </c>
      <c r="D29" s="49">
        <v>1.5</v>
      </c>
      <c r="E29" s="78" t="s">
        <v>144</v>
      </c>
    </row>
    <row r="30" spans="1:5" ht="31" x14ac:dyDescent="0.35">
      <c r="A30" s="50" t="s">
        <v>105</v>
      </c>
      <c r="B30" s="92">
        <v>30000</v>
      </c>
      <c r="C30" s="49" t="s">
        <v>191</v>
      </c>
      <c r="D30" s="49">
        <v>30000</v>
      </c>
      <c r="E30" s="78" t="s">
        <v>144</v>
      </c>
    </row>
    <row r="31" spans="1:5" x14ac:dyDescent="0.35">
      <c r="A31" s="47" t="s">
        <v>91</v>
      </c>
      <c r="B31" s="92">
        <v>2.2000000000000002</v>
      </c>
      <c r="C31" s="49" t="s">
        <v>192</v>
      </c>
      <c r="D31" s="49" t="s">
        <v>144</v>
      </c>
      <c r="E31" s="78" t="s">
        <v>144</v>
      </c>
    </row>
    <row r="32" spans="1:5" ht="31" x14ac:dyDescent="0.35">
      <c r="A32" s="47" t="s">
        <v>194</v>
      </c>
      <c r="B32" s="91">
        <v>5</v>
      </c>
      <c r="C32" s="49" t="s">
        <v>193</v>
      </c>
      <c r="D32" s="49">
        <v>5</v>
      </c>
      <c r="E32" s="78" t="s">
        <v>144</v>
      </c>
    </row>
    <row r="33" spans="1:5" x14ac:dyDescent="0.35">
      <c r="E33" s="78"/>
    </row>
    <row r="34" spans="1:5" x14ac:dyDescent="0.35">
      <c r="A34" s="65" t="s">
        <v>128</v>
      </c>
      <c r="B34" s="84"/>
      <c r="C34" s="66"/>
      <c r="D34" s="66"/>
      <c r="E34" s="88"/>
    </row>
    <row r="35" spans="1:5" ht="31" x14ac:dyDescent="0.35">
      <c r="A35" s="47" t="s">
        <v>18</v>
      </c>
      <c r="B35" s="91">
        <v>10</v>
      </c>
      <c r="C35" s="49" t="s">
        <v>190</v>
      </c>
      <c r="D35" s="49">
        <v>10</v>
      </c>
      <c r="E35" s="87" t="s">
        <v>17</v>
      </c>
    </row>
    <row r="36" spans="1:5" ht="31" x14ac:dyDescent="0.35">
      <c r="A36" s="47" t="s">
        <v>31</v>
      </c>
      <c r="B36" s="91">
        <v>500</v>
      </c>
      <c r="C36" s="49" t="s">
        <v>205</v>
      </c>
      <c r="D36" s="49">
        <v>500</v>
      </c>
      <c r="E36" s="87" t="s">
        <v>17</v>
      </c>
    </row>
    <row r="37" spans="1:5" ht="31" x14ac:dyDescent="0.35">
      <c r="A37" s="47" t="s">
        <v>23</v>
      </c>
      <c r="B37" s="91">
        <v>6</v>
      </c>
      <c r="C37" s="49" t="s">
        <v>225</v>
      </c>
      <c r="D37" s="49">
        <v>6</v>
      </c>
      <c r="E37" s="87" t="s">
        <v>17</v>
      </c>
    </row>
    <row r="38" spans="1:5" ht="46" x14ac:dyDescent="0.35">
      <c r="A38" s="47" t="s">
        <v>29</v>
      </c>
      <c r="B38" s="91">
        <v>26</v>
      </c>
      <c r="C38" s="49" t="s">
        <v>183</v>
      </c>
      <c r="D38" s="49">
        <v>26</v>
      </c>
      <c r="E38" s="80" t="s">
        <v>28</v>
      </c>
    </row>
    <row r="39" spans="1:5" x14ac:dyDescent="0.35">
      <c r="A39" s="1" t="s">
        <v>239</v>
      </c>
      <c r="B39" s="30">
        <v>820</v>
      </c>
      <c r="C39" s="1" t="s">
        <v>242</v>
      </c>
      <c r="D39" s="1">
        <v>820</v>
      </c>
      <c r="E39" s="53" t="s">
        <v>240</v>
      </c>
    </row>
    <row r="40" spans="1:5" x14ac:dyDescent="0.35">
      <c r="C40" s="51"/>
      <c r="D40" s="51"/>
      <c r="E40" s="78"/>
    </row>
    <row r="41" spans="1:5" x14ac:dyDescent="0.35">
      <c r="A41" s="65" t="s">
        <v>228</v>
      </c>
      <c r="B41" s="84"/>
      <c r="C41" s="66"/>
      <c r="D41" s="66"/>
      <c r="E41" s="88"/>
    </row>
    <row r="42" spans="1:5" ht="62" x14ac:dyDescent="0.35">
      <c r="A42" s="47" t="s">
        <v>89</v>
      </c>
      <c r="B42" s="91">
        <v>105</v>
      </c>
      <c r="C42" s="49" t="s">
        <v>195</v>
      </c>
      <c r="E42" s="78" t="s">
        <v>144</v>
      </c>
    </row>
    <row r="43" spans="1:5" ht="31" x14ac:dyDescent="0.35">
      <c r="A43" s="50" t="s">
        <v>90</v>
      </c>
      <c r="B43" s="91">
        <v>550000</v>
      </c>
      <c r="C43" s="49" t="s">
        <v>196</v>
      </c>
      <c r="D43" s="49">
        <v>550000</v>
      </c>
      <c r="E43" s="87" t="s">
        <v>26</v>
      </c>
    </row>
    <row r="44" spans="1:5" ht="31" x14ac:dyDescent="0.35">
      <c r="A44" s="47" t="s">
        <v>91</v>
      </c>
      <c r="B44" s="91">
        <v>2.2000000000000002</v>
      </c>
      <c r="C44" s="49" t="s">
        <v>226</v>
      </c>
      <c r="D44" s="49" t="s">
        <v>144</v>
      </c>
      <c r="E44" s="78"/>
    </row>
    <row r="45" spans="1:5" ht="31" x14ac:dyDescent="0.35">
      <c r="A45" s="47" t="s">
        <v>25</v>
      </c>
      <c r="B45" s="91">
        <v>15</v>
      </c>
      <c r="C45" s="49" t="s">
        <v>227</v>
      </c>
      <c r="D45" s="49">
        <v>15</v>
      </c>
      <c r="E45" s="78"/>
    </row>
    <row r="46" spans="1:5" x14ac:dyDescent="0.35">
      <c r="E46" s="78"/>
    </row>
    <row r="47" spans="1:5" x14ac:dyDescent="0.35">
      <c r="A47" s="65" t="s">
        <v>3</v>
      </c>
      <c r="B47" s="84"/>
      <c r="C47" s="69"/>
      <c r="D47" s="69"/>
      <c r="E47" s="78"/>
    </row>
    <row r="48" spans="1:5" ht="23" x14ac:dyDescent="0.35">
      <c r="A48" s="47" t="s">
        <v>23</v>
      </c>
      <c r="B48" s="70">
        <v>9.6999999999999993</v>
      </c>
      <c r="C48" s="49" t="s">
        <v>251</v>
      </c>
      <c r="D48" s="49">
        <v>9.6999999999999993</v>
      </c>
      <c r="E48" s="90" t="s">
        <v>247</v>
      </c>
    </row>
    <row r="49" spans="1:5" x14ac:dyDescent="0.35">
      <c r="A49" s="47" t="s">
        <v>248</v>
      </c>
      <c r="B49" s="70">
        <v>1.7</v>
      </c>
      <c r="C49" s="50" t="s">
        <v>252</v>
      </c>
      <c r="D49" s="50">
        <v>1.7</v>
      </c>
      <c r="E49" s="90" t="s">
        <v>249</v>
      </c>
    </row>
    <row r="50" spans="1:5" x14ac:dyDescent="0.35">
      <c r="A50" s="47" t="s">
        <v>239</v>
      </c>
      <c r="B50" s="70">
        <v>220</v>
      </c>
      <c r="C50" s="50" t="s">
        <v>253</v>
      </c>
      <c r="D50" s="50">
        <v>220</v>
      </c>
      <c r="E50" s="90" t="s">
        <v>250</v>
      </c>
    </row>
    <row r="51" spans="1:5" x14ac:dyDescent="0.35">
      <c r="C51" s="52"/>
      <c r="D51" s="52"/>
    </row>
    <row r="52" spans="1:5" x14ac:dyDescent="0.35">
      <c r="A52" s="65" t="s">
        <v>145</v>
      </c>
      <c r="B52" s="84"/>
      <c r="C52" s="66"/>
      <c r="D52" s="66"/>
      <c r="E52" s="88"/>
    </row>
    <row r="53" spans="1:5" ht="31" x14ac:dyDescent="0.35">
      <c r="A53" s="47" t="s">
        <v>20</v>
      </c>
      <c r="B53" s="91">
        <v>10</v>
      </c>
      <c r="C53" s="45" t="s">
        <v>155</v>
      </c>
      <c r="D53" s="45">
        <v>10</v>
      </c>
      <c r="E53" s="78" t="s">
        <v>144</v>
      </c>
    </row>
    <row r="54" spans="1:5" ht="31" x14ac:dyDescent="0.35">
      <c r="A54" s="47" t="s">
        <v>19</v>
      </c>
      <c r="B54" s="91">
        <v>5</v>
      </c>
      <c r="C54" s="45" t="s">
        <v>156</v>
      </c>
      <c r="D54" s="45">
        <v>5</v>
      </c>
      <c r="E54" s="78" t="s">
        <v>144</v>
      </c>
    </row>
    <row r="55" spans="1:5" ht="31" x14ac:dyDescent="0.35">
      <c r="A55" s="47" t="s">
        <v>0</v>
      </c>
      <c r="B55" s="91">
        <v>65</v>
      </c>
      <c r="C55" s="54" t="s">
        <v>157</v>
      </c>
      <c r="D55" s="54">
        <v>65</v>
      </c>
      <c r="E55" s="78" t="s">
        <v>144</v>
      </c>
    </row>
    <row r="56" spans="1:5" ht="31" x14ac:dyDescent="0.35">
      <c r="A56" s="47" t="s">
        <v>1</v>
      </c>
      <c r="B56" s="91">
        <v>9</v>
      </c>
      <c r="C56" s="54" t="s">
        <v>158</v>
      </c>
      <c r="D56" s="54">
        <v>9</v>
      </c>
      <c r="E56" s="78" t="s">
        <v>144</v>
      </c>
    </row>
    <row r="57" spans="1:5" ht="31" x14ac:dyDescent="0.35">
      <c r="A57" s="47" t="s">
        <v>2</v>
      </c>
      <c r="B57" s="91">
        <v>11</v>
      </c>
      <c r="C57" s="54" t="s">
        <v>159</v>
      </c>
      <c r="D57" s="54">
        <v>11</v>
      </c>
      <c r="E57" s="78" t="s">
        <v>144</v>
      </c>
    </row>
    <row r="58" spans="1:5" x14ac:dyDescent="0.35">
      <c r="A58" s="47" t="s">
        <v>21</v>
      </c>
      <c r="B58" s="46" t="b">
        <f>IF(SUM(B53:B57) = 100, TRUE, FALSE)</f>
        <v>1</v>
      </c>
      <c r="C58" s="49" t="s">
        <v>254</v>
      </c>
      <c r="E58" s="78" t="s">
        <v>144</v>
      </c>
    </row>
    <row r="59" spans="1:5" x14ac:dyDescent="0.35">
      <c r="E59" s="78"/>
    </row>
    <row r="60" spans="1:5" x14ac:dyDescent="0.35">
      <c r="A60" s="65" t="s">
        <v>146</v>
      </c>
      <c r="B60" s="84"/>
      <c r="C60" s="69"/>
      <c r="D60" s="69"/>
      <c r="E60" s="89"/>
    </row>
    <row r="61" spans="1:5" ht="31" x14ac:dyDescent="0.35">
      <c r="A61" s="47" t="s">
        <v>20</v>
      </c>
      <c r="B61" s="93">
        <v>10</v>
      </c>
      <c r="C61" s="45" t="s">
        <v>147</v>
      </c>
      <c r="D61" s="45">
        <v>10</v>
      </c>
      <c r="E61" s="78" t="s">
        <v>144</v>
      </c>
    </row>
    <row r="62" spans="1:5" ht="31" x14ac:dyDescent="0.35">
      <c r="A62" s="47" t="s">
        <v>19</v>
      </c>
      <c r="B62" s="93">
        <v>5</v>
      </c>
      <c r="C62" s="45" t="s">
        <v>148</v>
      </c>
      <c r="D62" s="45">
        <v>5</v>
      </c>
      <c r="E62" s="78" t="s">
        <v>144</v>
      </c>
    </row>
    <row r="63" spans="1:5" ht="31" x14ac:dyDescent="0.35">
      <c r="A63" s="47" t="s">
        <v>0</v>
      </c>
      <c r="B63" s="93">
        <v>65</v>
      </c>
      <c r="C63" s="54" t="s">
        <v>149</v>
      </c>
      <c r="D63" s="54">
        <v>65</v>
      </c>
      <c r="E63" s="78" t="s">
        <v>144</v>
      </c>
    </row>
    <row r="64" spans="1:5" ht="31" x14ac:dyDescent="0.35">
      <c r="A64" s="47" t="s">
        <v>1</v>
      </c>
      <c r="B64" s="93">
        <v>9</v>
      </c>
      <c r="C64" s="54" t="s">
        <v>150</v>
      </c>
      <c r="D64" s="54">
        <v>9</v>
      </c>
      <c r="E64" s="78" t="s">
        <v>144</v>
      </c>
    </row>
    <row r="65" spans="1:5" ht="31" x14ac:dyDescent="0.35">
      <c r="A65" s="47" t="s">
        <v>2</v>
      </c>
      <c r="B65" s="93">
        <v>11</v>
      </c>
      <c r="C65" s="54" t="s">
        <v>151</v>
      </c>
      <c r="D65" s="54">
        <v>11</v>
      </c>
      <c r="E65" s="78" t="s">
        <v>144</v>
      </c>
    </row>
    <row r="66" spans="1:5" x14ac:dyDescent="0.35">
      <c r="A66" s="47" t="s">
        <v>21</v>
      </c>
      <c r="B66" s="85" t="b">
        <f>IF(SUM(B61:B65) = 100, TRUE, FALSE)</f>
        <v>1</v>
      </c>
      <c r="C66" s="49" t="s">
        <v>254</v>
      </c>
      <c r="E66" s="78" t="s">
        <v>144</v>
      </c>
    </row>
  </sheetData>
  <conditionalFormatting sqref="B66 B58">
    <cfRule type="cellIs" dxfId="3" priority="3" operator="equal">
      <formula>FALSE</formula>
    </cfRule>
    <cfRule type="containsText" dxfId="2" priority="4" operator="containsText" text="TRUE">
      <formula>NOT(ISERROR(SEARCH("TRUE",B58)))</formula>
    </cfRule>
  </conditionalFormatting>
  <conditionalFormatting sqref="B19">
    <cfRule type="cellIs" dxfId="1" priority="1" operator="equal">
      <formula>FALSE</formula>
    </cfRule>
    <cfRule type="containsText" dxfId="0" priority="2" operator="containsText" text="TRUE">
      <formula>NOT(ISERROR(SEARCH("TRUE",B19)))</formula>
    </cfRule>
  </conditionalFormatting>
  <dataValidations count="2">
    <dataValidation type="list" allowBlank="1" showInputMessage="1" showErrorMessage="1" sqref="B9" xr:uid="{8519F95D-4927-344D-A5CA-73AA861B7260}">
      <formula1>"Urban, Suburban, Rural"</formula1>
    </dataValidation>
    <dataValidation type="list" allowBlank="1" showInputMessage="1" showErrorMessage="1" sqref="B15" xr:uid="{C6BB0DE0-AA5D-7D42-8D19-73286AA19AFA}">
      <formula1>"Low, Medium, High"</formula1>
    </dataValidation>
  </dataValidations>
  <hyperlinks>
    <hyperlink ref="E35" r:id="rId1" xr:uid="{52EBA8D9-3547-444F-9C00-B5EBFA26B00B}"/>
    <hyperlink ref="E38" r:id="rId2" xr:uid="{1FD64C09-4BC9-0649-90FA-1E7295547555}"/>
    <hyperlink ref="E15" r:id="rId3" xr:uid="{05C89AC6-544E-3F47-A6CA-1E5F8A604DD7}"/>
    <hyperlink ref="E16" r:id="rId4" xr:uid="{B8252BD1-94B1-1E4D-ABBC-3808ECFDFFEF}"/>
    <hyperlink ref="E22" r:id="rId5" xr:uid="{36C82D01-202F-5048-A8AA-94BDC7621F50}"/>
    <hyperlink ref="E23" r:id="rId6" xr:uid="{2D628F94-8704-524C-885E-5FF329B996C7}"/>
    <hyperlink ref="E4" r:id="rId7" xr:uid="{3A3D91FD-84B6-754D-8920-4CD4D40E5CB0}"/>
    <hyperlink ref="E48" r:id="rId8" xr:uid="{B3168EB8-D52F-9040-90FE-7A930281789A}"/>
    <hyperlink ref="E49" r:id="rId9" xr:uid="{A871F3EE-E0CC-D743-A72A-BBA3E3556D11}"/>
    <hyperlink ref="E50" r:id="rId10" xr:uid="{04D54C1A-7A0B-A547-B4EF-5256DBF7498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9059-FE14-9D41-AC1A-C40DED8C8071}">
  <sheetPr>
    <tabColor theme="9" tint="0.59999389629810485"/>
  </sheetPr>
  <dimension ref="B1:E56"/>
  <sheetViews>
    <sheetView showGridLines="0" zoomScale="89" workbookViewId="0">
      <selection activeCell="D33" sqref="D33"/>
    </sheetView>
  </sheetViews>
  <sheetFormatPr defaultColWidth="10.83203125" defaultRowHeight="15.5" x14ac:dyDescent="0.35"/>
  <cols>
    <col min="1" max="1" width="10.83203125" style="2"/>
    <col min="2" max="2" width="50.5" style="2" customWidth="1"/>
    <col min="3" max="3" width="42.5" style="9" bestFit="1" customWidth="1"/>
    <col min="4" max="4" width="113.1640625" style="9" customWidth="1"/>
    <col min="5" max="16384" width="10.83203125" style="2"/>
  </cols>
  <sheetData>
    <row r="1" spans="2:4" ht="16" thickBot="1" x14ac:dyDescent="0.4"/>
    <row r="2" spans="2:4" ht="16" thickBot="1" x14ac:dyDescent="0.4">
      <c r="B2" s="127" t="s">
        <v>216</v>
      </c>
      <c r="C2" s="128"/>
      <c r="D2" s="26" t="s">
        <v>262</v>
      </c>
    </row>
    <row r="3" spans="2:4" x14ac:dyDescent="0.35">
      <c r="B3" s="20" t="s">
        <v>213</v>
      </c>
      <c r="C3" s="18">
        <f>Model_TripData!C8/Inputs!B10</f>
        <v>247.95</v>
      </c>
      <c r="D3" s="27" t="s">
        <v>198</v>
      </c>
    </row>
    <row r="4" spans="2:4" x14ac:dyDescent="0.35">
      <c r="B4" s="21" t="s">
        <v>214</v>
      </c>
      <c r="C4" s="18">
        <f>Model_TripData!C13/Inputs!B10</f>
        <v>198.35999999999999</v>
      </c>
      <c r="D4" s="27" t="s">
        <v>199</v>
      </c>
    </row>
    <row r="5" spans="2:4" x14ac:dyDescent="0.35">
      <c r="B5" s="21" t="s">
        <v>215</v>
      </c>
      <c r="C5" s="18">
        <f>Model_TripData!C14/Inputs!B10</f>
        <v>49.589999999999996</v>
      </c>
      <c r="D5" s="27" t="s">
        <v>200</v>
      </c>
    </row>
    <row r="6" spans="2:4" ht="16" thickBot="1" x14ac:dyDescent="0.4">
      <c r="B6" s="22" t="s">
        <v>62</v>
      </c>
      <c r="C6" s="19">
        <f>Model_TripData!C15/Inputs!B10</f>
        <v>20</v>
      </c>
      <c r="D6" s="27" t="s">
        <v>80</v>
      </c>
    </row>
    <row r="21" spans="2:5" ht="16" thickBot="1" x14ac:dyDescent="0.4"/>
    <row r="22" spans="2:5" ht="16" thickBot="1" x14ac:dyDescent="0.4">
      <c r="B22" s="125" t="s">
        <v>79</v>
      </c>
      <c r="C22" s="126"/>
      <c r="D22" s="28" t="s">
        <v>262</v>
      </c>
    </row>
    <row r="23" spans="2:5" x14ac:dyDescent="0.35">
      <c r="B23" s="23" t="s">
        <v>257</v>
      </c>
      <c r="C23" s="16">
        <f>C4/C6</f>
        <v>9.9179999999999993</v>
      </c>
      <c r="D23" s="29" t="s">
        <v>82</v>
      </c>
    </row>
    <row r="24" spans="2:5" x14ac:dyDescent="0.35">
      <c r="B24" s="24" t="s">
        <v>65</v>
      </c>
      <c r="C24" s="16">
        <f>IF(((Model_KPIcoefficients!B2*C4) + (Model_KPIcoefficients!B3*C6*3600) + Model_KPIcoefficients!B4)/60 &lt; 0, 0, ((Model_KPIcoefficients!B2*C4) + (Model_KPIcoefficients!B3*C6*3600) + Model_KPIcoefficients!B4)/60)</f>
        <v>21.883272133333332</v>
      </c>
      <c r="D24" s="29" t="s">
        <v>84</v>
      </c>
    </row>
    <row r="25" spans="2:5" x14ac:dyDescent="0.35">
      <c r="B25" s="24" t="s">
        <v>67</v>
      </c>
      <c r="C25" s="16">
        <f>IF(((Model_KPIcoefficients!B5*C4) + (Model_KPIcoefficients!B6*C6*3600) + Model_KPIcoefficients!B7)/60 &lt; 0, 0, ((Model_KPIcoefficients!B5*C4) + (Model_KPIcoefficients!B6*C6*3600) + Model_KPIcoefficients!B7)/60)</f>
        <v>96.975347333333332</v>
      </c>
      <c r="D25" s="29" t="s">
        <v>85</v>
      </c>
    </row>
    <row r="26" spans="2:5" x14ac:dyDescent="0.35">
      <c r="B26" s="24" t="s">
        <v>77</v>
      </c>
      <c r="C26" s="16">
        <f>IF(((Model_KPIcoefficients!B8*C4) + (Model_KPIcoefficients!B9*C6*3600) + Model_KPIcoefficients!B10)*100 &gt; 100, 100, IF(((Model_KPIcoefficients!B8*C4) + (Model_KPIcoefficients!B9*C6*3600) + Model_KPIcoefficients!B10)*100 &lt; 0, 0, ((Model_KPIcoefficients!B8*C4) + (Model_KPIcoefficients!B9*C6*3600) + Model_KPIcoefficients!B10)*100))</f>
        <v>100</v>
      </c>
      <c r="D26" s="29" t="s">
        <v>86</v>
      </c>
    </row>
    <row r="27" spans="2:5" ht="16" thickBot="1" x14ac:dyDescent="0.4">
      <c r="B27" s="25" t="s">
        <v>258</v>
      </c>
      <c r="C27" s="17">
        <f>Inputs!B35</f>
        <v>10</v>
      </c>
      <c r="D27" s="29" t="s">
        <v>259</v>
      </c>
    </row>
    <row r="28" spans="2:5" x14ac:dyDescent="0.35">
      <c r="B28" s="14"/>
      <c r="C28" s="15"/>
      <c r="D28" s="15"/>
    </row>
    <row r="29" spans="2:5" x14ac:dyDescent="0.35">
      <c r="B29" s="14"/>
      <c r="C29" s="15"/>
      <c r="D29" s="15"/>
    </row>
    <row r="30" spans="2:5" x14ac:dyDescent="0.35">
      <c r="B30" s="14"/>
      <c r="C30" s="12"/>
      <c r="D30" s="12"/>
      <c r="E30" s="9"/>
    </row>
    <row r="31" spans="2:5" x14ac:dyDescent="0.35">
      <c r="B31" s="1"/>
      <c r="C31" s="13"/>
      <c r="D31" s="13"/>
    </row>
    <row r="43" spans="2:4" ht="16" thickBot="1" x14ac:dyDescent="0.4"/>
    <row r="44" spans="2:4" x14ac:dyDescent="0.35">
      <c r="B44" s="129" t="s">
        <v>78</v>
      </c>
      <c r="C44" s="130"/>
      <c r="D44" s="102" t="s">
        <v>262</v>
      </c>
    </row>
    <row r="45" spans="2:4" x14ac:dyDescent="0.35">
      <c r="B45" s="117" t="s">
        <v>106</v>
      </c>
      <c r="C45" s="114">
        <f>Model_CostBenefits!C20-Model_CostBenefits!B20</f>
        <v>120436.80000000075</v>
      </c>
      <c r="D45" s="100" t="s">
        <v>197</v>
      </c>
    </row>
    <row r="46" spans="2:4" x14ac:dyDescent="0.35">
      <c r="B46" s="101" t="s">
        <v>107</v>
      </c>
      <c r="C46" s="114">
        <f>-(Model_CostBenefits!C14-Model_CostBenefits!B14)</f>
        <v>50022</v>
      </c>
      <c r="D46" s="100" t="s">
        <v>87</v>
      </c>
    </row>
    <row r="47" spans="2:4" x14ac:dyDescent="0.35">
      <c r="B47" s="103" t="s">
        <v>271</v>
      </c>
      <c r="C47" s="114">
        <f>C45 + C46</f>
        <v>170458.80000000075</v>
      </c>
      <c r="D47" s="100" t="s">
        <v>261</v>
      </c>
    </row>
    <row r="48" spans="2:4" x14ac:dyDescent="0.35">
      <c r="B48" s="103" t="s">
        <v>272</v>
      </c>
      <c r="C48" s="114">
        <f>-(Model_CostBenefits!C15)</f>
        <v>-430524</v>
      </c>
      <c r="D48" s="100" t="s">
        <v>270</v>
      </c>
    </row>
    <row r="49" spans="2:4" x14ac:dyDescent="0.35">
      <c r="B49" s="118" t="s">
        <v>273</v>
      </c>
      <c r="C49" s="115">
        <f>C47+C48</f>
        <v>-260065.19999999925</v>
      </c>
      <c r="D49" s="100" t="s">
        <v>81</v>
      </c>
    </row>
    <row r="50" spans="2:4" ht="16" thickBot="1" x14ac:dyDescent="0.4">
      <c r="B50" s="119" t="s">
        <v>263</v>
      </c>
      <c r="C50" s="116">
        <f>Model_CostBenefits!C31</f>
        <v>26254.450588239706</v>
      </c>
      <c r="D50" s="100" t="s">
        <v>260</v>
      </c>
    </row>
    <row r="51" spans="2:4" ht="16" thickBot="1" x14ac:dyDescent="0.4"/>
    <row r="52" spans="2:4" x14ac:dyDescent="0.35">
      <c r="B52" s="131" t="s">
        <v>266</v>
      </c>
      <c r="C52" s="132"/>
      <c r="D52" s="110" t="s">
        <v>262</v>
      </c>
    </row>
    <row r="53" spans="2:4" x14ac:dyDescent="0.35">
      <c r="B53" s="106" t="s">
        <v>264</v>
      </c>
      <c r="C53" s="107">
        <f>C47/(-C48)</f>
        <v>0.39593332775873297</v>
      </c>
      <c r="D53" s="104" t="s">
        <v>269</v>
      </c>
    </row>
    <row r="54" spans="2:4" x14ac:dyDescent="0.35">
      <c r="B54" s="108" t="s">
        <v>265</v>
      </c>
      <c r="C54" s="109">
        <f>C50/(-C48)</f>
        <v>6.0982548216219554E-2</v>
      </c>
      <c r="D54" s="104" t="s">
        <v>268</v>
      </c>
    </row>
    <row r="55" spans="2:4" x14ac:dyDescent="0.35">
      <c r="B55" s="111" t="s">
        <v>217</v>
      </c>
      <c r="C55" s="109">
        <f>Model_CostBenefits!C24</f>
        <v>5.0347247428917123</v>
      </c>
      <c r="D55" s="105" t="s">
        <v>83</v>
      </c>
    </row>
    <row r="56" spans="2:4" ht="16" thickBot="1" x14ac:dyDescent="0.4">
      <c r="B56" s="112" t="s">
        <v>201</v>
      </c>
      <c r="C56" s="113">
        <f>Model_CostBenefits!C23</f>
        <v>8.5037935993247391</v>
      </c>
      <c r="D56" s="105" t="s">
        <v>83</v>
      </c>
    </row>
  </sheetData>
  <mergeCells count="4">
    <mergeCell ref="B22:C22"/>
    <mergeCell ref="B2:C2"/>
    <mergeCell ref="B44:C44"/>
    <mergeCell ref="B52:C5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ED89A-548D-7D49-92B6-BE455A870D84}">
  <sheetPr>
    <tabColor theme="8" tint="0.59999389629810485"/>
  </sheetPr>
  <dimension ref="A1:E62"/>
  <sheetViews>
    <sheetView workbookViewId="0">
      <selection activeCell="C14" sqref="C14"/>
    </sheetView>
  </sheetViews>
  <sheetFormatPr defaultColWidth="10.6640625" defaultRowHeight="15.5" x14ac:dyDescent="0.35"/>
  <cols>
    <col min="1" max="1" width="52" style="2" customWidth="1"/>
    <col min="2" max="2" width="20" style="2" bestFit="1" customWidth="1"/>
    <col min="3" max="3" width="18.33203125" style="5" bestFit="1" customWidth="1"/>
  </cols>
  <sheetData>
    <row r="1" spans="1:5" x14ac:dyDescent="0.35">
      <c r="B1" s="68" t="s">
        <v>223</v>
      </c>
      <c r="C1" s="86" t="s">
        <v>224</v>
      </c>
    </row>
    <row r="2" spans="1:5" x14ac:dyDescent="0.35">
      <c r="A2" s="33" t="s">
        <v>27</v>
      </c>
      <c r="B2" s="32"/>
      <c r="C2" s="72"/>
    </row>
    <row r="3" spans="1:5" x14ac:dyDescent="0.35">
      <c r="A3" s="2" t="s">
        <v>10</v>
      </c>
      <c r="B3" s="38">
        <f>(Inputs!B3*Inputs!B7)*30</f>
        <v>9000000</v>
      </c>
      <c r="C3" s="94">
        <f>C4+C8</f>
        <v>9000992</v>
      </c>
    </row>
    <row r="4" spans="1:5" x14ac:dyDescent="0.35">
      <c r="A4" s="2" t="s">
        <v>219</v>
      </c>
      <c r="B4" s="38">
        <f>ROUND(B3-(B8*((100 - Inputs!B16)/100)),0)</f>
        <v>9000000</v>
      </c>
      <c r="C4" s="38">
        <f>ROUND(B3-(C8*((100 - Inputs!B16)/100)),0)</f>
        <v>8996033</v>
      </c>
      <c r="E4" s="10"/>
    </row>
    <row r="5" spans="1:5" x14ac:dyDescent="0.35">
      <c r="A5" s="1" t="s">
        <v>212</v>
      </c>
      <c r="B5" s="38"/>
      <c r="C5" s="38">
        <f>IF(Inputs!B15 = "Low", 0.05, IF(Inputs!B15 = "Medium", 0.3, IF(Inputs!B15 = "High", 1, NA)))</f>
        <v>0.3</v>
      </c>
    </row>
    <row r="7" spans="1:5" x14ac:dyDescent="0.35">
      <c r="A7" s="33" t="s">
        <v>218</v>
      </c>
      <c r="B7" s="32"/>
      <c r="C7" s="72"/>
    </row>
    <row r="8" spans="1:5" x14ac:dyDescent="0.35">
      <c r="A8" s="35" t="s">
        <v>220</v>
      </c>
      <c r="B8" s="38">
        <v>0</v>
      </c>
      <c r="C8" s="94">
        <f>ROUND(Model_TripData!C9*(Model_TripData!C10/100)*(Model_TripData!C11/100)*(Model_TripData!C12/100),0)</f>
        <v>4959</v>
      </c>
    </row>
    <row r="9" spans="1:5" x14ac:dyDescent="0.35">
      <c r="A9" s="4" t="s">
        <v>221</v>
      </c>
      <c r="B9" s="38"/>
      <c r="C9" s="38">
        <f>(Model_TripData!B3*Model_TripData!C5)/100</f>
        <v>27000</v>
      </c>
    </row>
    <row r="10" spans="1:5" x14ac:dyDescent="0.35">
      <c r="A10" s="4" t="s">
        <v>47</v>
      </c>
      <c r="B10" s="38"/>
      <c r="C10" s="38">
        <f>IF(Inputs!B9 = "Urban", Model_TripDistanceDistributions!N8,IF(Inputs!B9 = "Suburban", Model_TripDistanceDistributions!N9, IF(Inputs!B9 = "Rural", Model_TripDistanceDistributions!N10, NA)))</f>
        <v>47.5</v>
      </c>
    </row>
    <row r="11" spans="1:5" x14ac:dyDescent="0.35">
      <c r="A11" s="4" t="s">
        <v>48</v>
      </c>
      <c r="B11" s="38"/>
      <c r="C11" s="95">
        <f>(Inputs!B10/30)*100</f>
        <v>66.666666666666657</v>
      </c>
    </row>
    <row r="12" spans="1:5" x14ac:dyDescent="0.35">
      <c r="A12" s="4" t="s">
        <v>49</v>
      </c>
      <c r="B12" s="38"/>
      <c r="C12" s="38">
        <f xml:space="preserve"> (INDEX(Model_TripTimeDistributions!$E$3:$E$26,MATCH(TRUE,INDEX(Model_TripTimeDistributions!$A$3:$A$26&gt;(Inputs!B12 - 1),0),))) - (INDEX(Model_TripTimeDistributions!$E$3:$E$26,MATCH(TRUE,INDEX(Model_TripTimeDistributions!$A$3:$A$26&gt;(Inputs!B11-1),0),)))</f>
        <v>58</v>
      </c>
    </row>
    <row r="13" spans="1:5" x14ac:dyDescent="0.35">
      <c r="A13" s="2" t="s">
        <v>7</v>
      </c>
      <c r="B13" s="38">
        <v>0</v>
      </c>
      <c r="C13" s="94">
        <f>(C8*Inputs!B17)/100</f>
        <v>3967.2</v>
      </c>
    </row>
    <row r="14" spans="1:5" x14ac:dyDescent="0.35">
      <c r="A14" s="2" t="s">
        <v>8</v>
      </c>
      <c r="B14" s="38">
        <v>0</v>
      </c>
      <c r="C14" s="94">
        <f>(C8*Inputs!B18)/100</f>
        <v>991.8</v>
      </c>
    </row>
    <row r="15" spans="1:5" x14ac:dyDescent="0.35">
      <c r="A15" s="2" t="s">
        <v>9</v>
      </c>
      <c r="B15" s="38">
        <v>0</v>
      </c>
      <c r="C15" s="94">
        <f>Inputs!B20*Inputs!B21*Inputs!B10</f>
        <v>400</v>
      </c>
    </row>
    <row r="16" spans="1:5" x14ac:dyDescent="0.35">
      <c r="A16" s="2" t="s">
        <v>222</v>
      </c>
      <c r="B16" s="38">
        <v>0</v>
      </c>
      <c r="C16" s="94">
        <f>C17*Inputs!B22</f>
        <v>74385</v>
      </c>
    </row>
    <row r="17" spans="1:4" x14ac:dyDescent="0.35">
      <c r="A17" s="2" t="s">
        <v>36</v>
      </c>
      <c r="B17" s="38">
        <f>B8*Model_TripDistanceDistributions!N5</f>
        <v>0</v>
      </c>
      <c r="C17" s="38">
        <f>C8*Model_TripDistanceDistributions!N5</f>
        <v>49590</v>
      </c>
    </row>
    <row r="19" spans="1:4" x14ac:dyDescent="0.35">
      <c r="A19" s="42" t="s">
        <v>88</v>
      </c>
      <c r="B19" s="32"/>
      <c r="C19" s="72"/>
    </row>
    <row r="20" spans="1:4" x14ac:dyDescent="0.35">
      <c r="A20" s="2" t="s">
        <v>13</v>
      </c>
      <c r="B20" s="38">
        <f>ROUND((B4*Inputs!B53)/100,0)</f>
        <v>900000</v>
      </c>
      <c r="C20" s="38">
        <f>ROUND((C4*Inputs!B61)/100,0)</f>
        <v>899603</v>
      </c>
    </row>
    <row r="21" spans="1:4" x14ac:dyDescent="0.35">
      <c r="A21" s="2" t="s">
        <v>12</v>
      </c>
      <c r="B21" s="38">
        <f>ROUNDUP(B20/(Inputs!B36*30),0)</f>
        <v>60</v>
      </c>
      <c r="C21" s="38">
        <f>ROUNDUP(C20/(Inputs!B36*30),0)</f>
        <v>60</v>
      </c>
    </row>
    <row r="22" spans="1:4" x14ac:dyDescent="0.35">
      <c r="A22" s="2" t="s">
        <v>22</v>
      </c>
      <c r="B22" s="38">
        <f>B20/Inputs!B35</f>
        <v>90000</v>
      </c>
      <c r="C22" s="38">
        <f>C20/Inputs!B35</f>
        <v>89960.3</v>
      </c>
    </row>
    <row r="23" spans="1:4" x14ac:dyDescent="0.35">
      <c r="A23" s="2" t="s">
        <v>30</v>
      </c>
      <c r="B23" s="38">
        <f>(B20*Inputs!B37)/((Inputs!B37/Inputs!B38)*Inputs!B35)</f>
        <v>2339999.9999999995</v>
      </c>
      <c r="C23" s="38">
        <f>(C20*Inputs!B37)/((Inputs!B37/Inputs!B38)*Inputs!B35)</f>
        <v>2338967.7999999998</v>
      </c>
    </row>
    <row r="24" spans="1:4" x14ac:dyDescent="0.35">
      <c r="A24" s="2" t="s">
        <v>36</v>
      </c>
      <c r="B24" s="38">
        <f>B20*Inputs!B37</f>
        <v>5400000</v>
      </c>
      <c r="C24" s="38">
        <f>C20*Inputs!B37</f>
        <v>5397618</v>
      </c>
    </row>
    <row r="26" spans="1:4" x14ac:dyDescent="0.35">
      <c r="A26" s="33" t="s">
        <v>3</v>
      </c>
      <c r="B26" s="32"/>
      <c r="C26" s="72"/>
    </row>
    <row r="27" spans="1:4" x14ac:dyDescent="0.35">
      <c r="A27" s="4" t="s">
        <v>14</v>
      </c>
      <c r="B27" s="96">
        <f>(Inputs!B55*B4)/100</f>
        <v>5850000</v>
      </c>
      <c r="C27" s="96">
        <f>(Inputs!B63*C4)/100</f>
        <v>5847421.4500000002</v>
      </c>
    </row>
    <row r="28" spans="1:4" x14ac:dyDescent="0.35">
      <c r="A28" s="2" t="s">
        <v>246</v>
      </c>
      <c r="B28" s="38">
        <f>(Inputs!B48*B27)/Inputs!B49</f>
        <v>33379411.764705878</v>
      </c>
      <c r="C28" s="94">
        <f>(Inputs!B48*C27)/Inputs!B49</f>
        <v>33364698.861764707</v>
      </c>
      <c r="D28" s="6"/>
    </row>
    <row r="29" spans="1:4" x14ac:dyDescent="0.35">
      <c r="A29" s="2" t="s">
        <v>36</v>
      </c>
      <c r="B29" s="38">
        <f>B27*Inputs!B48</f>
        <v>56744999.999999993</v>
      </c>
      <c r="C29" s="38">
        <f>C27*Inputs!B48</f>
        <v>56719988.064999998</v>
      </c>
    </row>
    <row r="31" spans="1:4" x14ac:dyDescent="0.35">
      <c r="A31" s="33" t="s">
        <v>4</v>
      </c>
      <c r="B31" s="32"/>
      <c r="C31" s="72"/>
    </row>
    <row r="32" spans="1:4" x14ac:dyDescent="0.35">
      <c r="A32" s="4" t="s">
        <v>15</v>
      </c>
      <c r="B32" s="38">
        <f>(Inputs!B56*B4)/100</f>
        <v>810000</v>
      </c>
      <c r="C32" s="94">
        <f>(Inputs!B64*C4)/100</f>
        <v>809642.97</v>
      </c>
    </row>
    <row r="34" spans="1:3" x14ac:dyDescent="0.35">
      <c r="A34" s="33" t="s">
        <v>5</v>
      </c>
      <c r="B34" s="32"/>
      <c r="C34" s="72"/>
    </row>
    <row r="35" spans="1:3" x14ac:dyDescent="0.35">
      <c r="A35" s="4" t="s">
        <v>16</v>
      </c>
      <c r="B35" s="38">
        <f>(Inputs!B57*B4)/100</f>
        <v>990000</v>
      </c>
      <c r="C35" s="94">
        <f>(Inputs!B65*C4)/100</f>
        <v>989563.63</v>
      </c>
    </row>
    <row r="53" spans="1:1" x14ac:dyDescent="0.35">
      <c r="A53" s="11"/>
    </row>
    <row r="62" spans="1:1" x14ac:dyDescent="0.35">
      <c r="A62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729D1-4F24-A64C-A701-9B0EB3D89E1C}">
  <sheetPr>
    <tabColor theme="8" tint="0.59999389629810485"/>
  </sheetPr>
  <dimension ref="A1:C31"/>
  <sheetViews>
    <sheetView workbookViewId="0">
      <selection activeCell="N34" sqref="N34"/>
    </sheetView>
  </sheetViews>
  <sheetFormatPr defaultColWidth="10.6640625" defaultRowHeight="15.5" x14ac:dyDescent="0.35"/>
  <cols>
    <col min="1" max="1" width="55.1640625" style="5" bestFit="1" customWidth="1"/>
    <col min="2" max="2" width="20" style="5" bestFit="1" customWidth="1"/>
    <col min="3" max="3" width="18.33203125" style="5" bestFit="1" customWidth="1"/>
  </cols>
  <sheetData>
    <row r="1" spans="1:3" x14ac:dyDescent="0.35">
      <c r="A1" s="7"/>
      <c r="B1" s="68" t="s">
        <v>223</v>
      </c>
      <c r="C1" s="86" t="s">
        <v>224</v>
      </c>
    </row>
    <row r="2" spans="1:3" x14ac:dyDescent="0.35">
      <c r="A2" s="42" t="s">
        <v>88</v>
      </c>
      <c r="B2" s="72"/>
      <c r="C2" s="72"/>
    </row>
    <row r="3" spans="1:3" x14ac:dyDescent="0.35">
      <c r="A3" s="5" t="s">
        <v>92</v>
      </c>
      <c r="B3" s="97">
        <f>Model_TripData!B22*Inputs!B42</f>
        <v>9450000</v>
      </c>
      <c r="C3" s="97">
        <f>Model_TripData!C22*Inputs!B42</f>
        <v>9445831.5</v>
      </c>
    </row>
    <row r="4" spans="1:3" x14ac:dyDescent="0.35">
      <c r="A4" s="5" t="s">
        <v>93</v>
      </c>
      <c r="B4" s="94">
        <f>Model_TripData!B21*(Inputs!B43/Inputs!B45)</f>
        <v>2200000</v>
      </c>
      <c r="C4" s="94">
        <f>Model_TripData!C21*(Inputs!B43/Inputs!B45)</f>
        <v>2200000</v>
      </c>
    </row>
    <row r="5" spans="1:3" x14ac:dyDescent="0.35">
      <c r="A5" s="2" t="s">
        <v>94</v>
      </c>
      <c r="B5" s="38">
        <f>Model_TripData!B20*Inputs!B44*12</f>
        <v>23760000.000000004</v>
      </c>
      <c r="C5" s="38">
        <f>Model_TripData!C20*Inputs!B44*12</f>
        <v>23749519.200000003</v>
      </c>
    </row>
    <row r="6" spans="1:3" x14ac:dyDescent="0.35">
      <c r="A6" s="8"/>
      <c r="B6" s="8"/>
    </row>
    <row r="7" spans="1:3" x14ac:dyDescent="0.35">
      <c r="A7" s="33" t="s">
        <v>218</v>
      </c>
      <c r="B7" s="74"/>
      <c r="C7" s="72"/>
    </row>
    <row r="8" spans="1:3" x14ac:dyDescent="0.35">
      <c r="A8" s="5" t="s">
        <v>95</v>
      </c>
      <c r="B8" s="94">
        <v>0</v>
      </c>
      <c r="C8" s="94">
        <f>Model_TripData!C15*Inputs!B28</f>
        <v>20000</v>
      </c>
    </row>
    <row r="9" spans="1:3" x14ac:dyDescent="0.35">
      <c r="A9" s="5" t="s">
        <v>96</v>
      </c>
      <c r="B9" s="94">
        <v>0</v>
      </c>
      <c r="C9" s="94">
        <f>Inputs!B29*Model_TripDistanceDistributions!N5*Model_TripData!C14</f>
        <v>14877</v>
      </c>
    </row>
    <row r="10" spans="1:3" x14ac:dyDescent="0.35">
      <c r="A10" s="5" t="s">
        <v>97</v>
      </c>
      <c r="B10" s="94">
        <v>0</v>
      </c>
      <c r="C10" s="94">
        <f>Inputs!B20*(Inputs!B30/Inputs!B32)</f>
        <v>12000</v>
      </c>
    </row>
    <row r="11" spans="1:3" x14ac:dyDescent="0.35">
      <c r="A11" s="2" t="s">
        <v>202</v>
      </c>
      <c r="B11" s="94">
        <v>0</v>
      </c>
      <c r="C11" s="94">
        <f>Model_TripData!C8*Inputs!B31*12</f>
        <v>130917.6</v>
      </c>
    </row>
    <row r="13" spans="1:3" x14ac:dyDescent="0.35">
      <c r="A13" s="73" t="s">
        <v>11</v>
      </c>
      <c r="B13" s="74"/>
      <c r="C13" s="72"/>
    </row>
    <row r="14" spans="1:3" x14ac:dyDescent="0.35">
      <c r="A14" s="5" t="s">
        <v>98</v>
      </c>
      <c r="B14" s="98">
        <f>(B3*12)+B4</f>
        <v>115600000</v>
      </c>
      <c r="C14" s="98">
        <f>(C3*12)+C4</f>
        <v>115549978</v>
      </c>
    </row>
    <row r="15" spans="1:3" x14ac:dyDescent="0.35">
      <c r="A15" s="5" t="s">
        <v>203</v>
      </c>
      <c r="B15" s="98">
        <f>((B8+B9)*12)+B10</f>
        <v>0</v>
      </c>
      <c r="C15" s="98">
        <f>((C8+C9)*12)+C10</f>
        <v>430524</v>
      </c>
    </row>
    <row r="16" spans="1:3" x14ac:dyDescent="0.35">
      <c r="A16" s="5" t="s">
        <v>99</v>
      </c>
      <c r="B16" s="94">
        <f>B10+B4</f>
        <v>2200000</v>
      </c>
      <c r="C16" s="94">
        <f>C10+C4</f>
        <v>2212000</v>
      </c>
    </row>
    <row r="17" spans="1:3" x14ac:dyDescent="0.35">
      <c r="A17" s="5" t="s">
        <v>100</v>
      </c>
      <c r="B17" s="94">
        <f>((B8+B9+B3)*12)</f>
        <v>113400000</v>
      </c>
      <c r="C17" s="94">
        <f>((C8+C9+C3)*12)</f>
        <v>113768502</v>
      </c>
    </row>
    <row r="19" spans="1:3" x14ac:dyDescent="0.35">
      <c r="A19" s="73" t="s">
        <v>32</v>
      </c>
      <c r="B19" s="74"/>
      <c r="C19" s="72"/>
    </row>
    <row r="20" spans="1:3" x14ac:dyDescent="0.35">
      <c r="A20" s="5" t="s">
        <v>101</v>
      </c>
      <c r="B20" s="94">
        <f>B5+B11</f>
        <v>23760000.000000004</v>
      </c>
      <c r="C20" s="94">
        <f>C5+C11</f>
        <v>23880436.800000004</v>
      </c>
    </row>
    <row r="22" spans="1:3" x14ac:dyDescent="0.35">
      <c r="A22" s="73" t="s">
        <v>61</v>
      </c>
      <c r="B22" s="74"/>
      <c r="C22" s="72"/>
    </row>
    <row r="23" spans="1:3" x14ac:dyDescent="0.35">
      <c r="A23" s="2" t="s">
        <v>102</v>
      </c>
      <c r="B23" s="38">
        <f>(Model_CostBenefits!B14-Model_CostBenefits!B5)/(Model_TripData!B20*12)</f>
        <v>8.5037037037037031</v>
      </c>
      <c r="C23" s="38">
        <f>(Model_CostBenefits!C14-Model_CostBenefits!C5)/(Model_TripData!C20*12)</f>
        <v>8.5037935993247391</v>
      </c>
    </row>
    <row r="24" spans="1:3" x14ac:dyDescent="0.35">
      <c r="A24" s="2" t="s">
        <v>204</v>
      </c>
      <c r="B24" s="38">
        <v>0</v>
      </c>
      <c r="C24" s="38">
        <f>(Model_CostBenefits!C15-Model_CostBenefits!C11)/(Model_TripData!C8*12)</f>
        <v>5.0347247428917123</v>
      </c>
    </row>
    <row r="26" spans="1:3" x14ac:dyDescent="0.35">
      <c r="A26" s="73" t="s">
        <v>243</v>
      </c>
      <c r="B26" s="68" t="s">
        <v>223</v>
      </c>
      <c r="C26" s="86" t="s">
        <v>224</v>
      </c>
    </row>
    <row r="27" spans="1:3" x14ac:dyDescent="0.35">
      <c r="A27" s="4" t="s">
        <v>229</v>
      </c>
      <c r="B27" s="38">
        <f>(Model_TripData!B23*Inputs!B39*12)/1000000</f>
        <v>23025.599999999991</v>
      </c>
      <c r="C27" s="99">
        <f>(Model_TripData!C23*Inputs!B39*12)/1000000</f>
        <v>23015.443151999996</v>
      </c>
    </row>
    <row r="28" spans="1:3" x14ac:dyDescent="0.35">
      <c r="A28" s="4" t="s">
        <v>244</v>
      </c>
      <c r="B28" s="99">
        <v>0</v>
      </c>
      <c r="C28" s="97">
        <f>(Model_TripData!C16*Inputs!B24*12)/1000000</f>
        <v>267.786</v>
      </c>
    </row>
    <row r="29" spans="1:3" x14ac:dyDescent="0.35">
      <c r="A29" s="4" t="s">
        <v>230</v>
      </c>
      <c r="B29" s="99">
        <f>(Model_TripData!B28*Inputs!B50*12)/1000000</f>
        <v>88121.64705882351</v>
      </c>
      <c r="C29" s="99">
        <f>(Model_TripData!C28*Inputs!B50*12)/1000000</f>
        <v>88082.804995058832</v>
      </c>
    </row>
    <row r="30" spans="1:3" x14ac:dyDescent="0.35">
      <c r="A30" s="4" t="s">
        <v>231</v>
      </c>
      <c r="B30" s="99">
        <v>0</v>
      </c>
      <c r="C30" s="94">
        <f>(C27+C28+C29)- (B27+B28+B29)</f>
        <v>218.78708823533088</v>
      </c>
    </row>
    <row r="31" spans="1:3" x14ac:dyDescent="0.35">
      <c r="A31" s="4" t="s">
        <v>232</v>
      </c>
      <c r="B31" s="99">
        <v>0</v>
      </c>
      <c r="C31" s="94">
        <f>((C27+C28+C29)- (B27+B28+B29))*Inputs!B4</f>
        <v>26254.450588239706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DD31D-163E-E746-9B74-CFF6ADC9B960}">
  <sheetPr>
    <tabColor theme="8" tint="0.59999389629810485"/>
  </sheetPr>
  <dimension ref="A1:R36"/>
  <sheetViews>
    <sheetView workbookViewId="0">
      <selection activeCell="K22" sqref="K22"/>
    </sheetView>
  </sheetViews>
  <sheetFormatPr defaultColWidth="10.6640625" defaultRowHeight="15.5" x14ac:dyDescent="0.35"/>
  <cols>
    <col min="1" max="11" width="12.1640625" style="2" customWidth="1"/>
    <col min="12" max="12" width="15.83203125" style="1" customWidth="1"/>
    <col min="13" max="13" width="51.6640625" style="2" customWidth="1"/>
    <col min="14" max="14" width="10.83203125" style="2"/>
  </cols>
  <sheetData>
    <row r="1" spans="1:18" x14ac:dyDescent="0.35">
      <c r="A1" s="133" t="s">
        <v>58</v>
      </c>
      <c r="B1" s="133"/>
      <c r="C1" s="133"/>
      <c r="E1" s="133" t="s">
        <v>59</v>
      </c>
      <c r="F1" s="133"/>
      <c r="G1" s="133"/>
      <c r="I1" s="133" t="s">
        <v>60</v>
      </c>
      <c r="J1" s="133"/>
      <c r="K1" s="133"/>
      <c r="M1" s="42" t="s">
        <v>50</v>
      </c>
      <c r="N1" s="42"/>
      <c r="P1" s="133" t="s">
        <v>255</v>
      </c>
      <c r="Q1" s="133"/>
      <c r="R1" s="133"/>
    </row>
    <row r="2" spans="1:18" x14ac:dyDescent="0.35">
      <c r="A2" s="39" t="s">
        <v>39</v>
      </c>
      <c r="B2" s="40" t="s">
        <v>40</v>
      </c>
      <c r="C2" s="41" t="s">
        <v>46</v>
      </c>
      <c r="E2" s="39" t="s">
        <v>39</v>
      </c>
      <c r="F2" s="40" t="s">
        <v>40</v>
      </c>
      <c r="G2" s="41" t="s">
        <v>46</v>
      </c>
      <c r="I2" s="39" t="s">
        <v>39</v>
      </c>
      <c r="J2" s="40" t="s">
        <v>40</v>
      </c>
      <c r="K2" s="41" t="s">
        <v>46</v>
      </c>
      <c r="L2" s="14"/>
      <c r="M2" s="2" t="s">
        <v>52</v>
      </c>
      <c r="N2" s="38">
        <v>5</v>
      </c>
      <c r="P2" s="39" t="s">
        <v>39</v>
      </c>
      <c r="Q2" s="40" t="s">
        <v>40</v>
      </c>
      <c r="R2" s="41" t="s">
        <v>46</v>
      </c>
    </row>
    <row r="3" spans="1:18" x14ac:dyDescent="0.35">
      <c r="A3" s="34">
        <v>0</v>
      </c>
      <c r="B3" s="38">
        <v>0</v>
      </c>
      <c r="C3" s="38">
        <f>B3</f>
        <v>0</v>
      </c>
      <c r="E3" s="34">
        <v>0</v>
      </c>
      <c r="F3" s="38">
        <v>0</v>
      </c>
      <c r="G3" s="38">
        <f>F3</f>
        <v>0</v>
      </c>
      <c r="I3" s="34">
        <v>0</v>
      </c>
      <c r="J3" s="38">
        <v>0</v>
      </c>
      <c r="K3" s="38">
        <f>J3</f>
        <v>0</v>
      </c>
      <c r="M3" s="2" t="s">
        <v>53</v>
      </c>
      <c r="N3" s="38">
        <v>7</v>
      </c>
      <c r="P3" s="34">
        <v>0</v>
      </c>
      <c r="Q3" s="38">
        <f>IF(Inputs!$B$9 = "Urban", B3, IF(Inputs!$B$9 = "Suburban", F3, IF(Inputs!$B$9 = "Rural",J3,"NA")))</f>
        <v>0</v>
      </c>
      <c r="R3" s="38">
        <f>Q3</f>
        <v>0</v>
      </c>
    </row>
    <row r="4" spans="1:18" x14ac:dyDescent="0.35">
      <c r="A4" s="34">
        <v>1</v>
      </c>
      <c r="B4" s="38">
        <v>11</v>
      </c>
      <c r="C4" s="38">
        <f t="shared" ref="C4:C24" si="0">B4+C3</f>
        <v>11</v>
      </c>
      <c r="E4" s="34">
        <v>1</v>
      </c>
      <c r="F4" s="38">
        <v>5</v>
      </c>
      <c r="G4" s="38">
        <f>F4+G3</f>
        <v>5</v>
      </c>
      <c r="I4" s="34">
        <v>1</v>
      </c>
      <c r="J4" s="38">
        <v>2</v>
      </c>
      <c r="K4" s="38">
        <f>J4+K3</f>
        <v>2</v>
      </c>
      <c r="M4" s="2" t="s">
        <v>54</v>
      </c>
      <c r="N4" s="38">
        <v>10</v>
      </c>
      <c r="P4" s="34">
        <v>1</v>
      </c>
      <c r="Q4" s="38">
        <f>IF(Inputs!$B$9 = "Urban", B4, IF(Inputs!$B$9 = "Suburban", F4, IF(Inputs!$B$9 = "Rural",J4,"NA")))</f>
        <v>2</v>
      </c>
      <c r="R4" s="38">
        <f>Q4+R3</f>
        <v>2</v>
      </c>
    </row>
    <row r="5" spans="1:18" x14ac:dyDescent="0.35">
      <c r="A5" s="34">
        <v>2</v>
      </c>
      <c r="B5" s="38">
        <v>15</v>
      </c>
      <c r="C5" s="38">
        <f t="shared" si="0"/>
        <v>26</v>
      </c>
      <c r="E5" s="34">
        <v>2</v>
      </c>
      <c r="F5" s="38">
        <v>7</v>
      </c>
      <c r="G5" s="38">
        <f t="shared" ref="G5:G24" si="1">F5+G4</f>
        <v>12</v>
      </c>
      <c r="I5" s="34">
        <v>2</v>
      </c>
      <c r="J5" s="38">
        <v>4</v>
      </c>
      <c r="K5" s="38">
        <f t="shared" ref="K5:K24" si="2">J5+K4</f>
        <v>6</v>
      </c>
      <c r="M5" s="71" t="s">
        <v>51</v>
      </c>
      <c r="N5" s="38">
        <f>IF(Inputs!B9 = "Urban", Model_TripDistanceDistributions!N2, IF(Inputs!B9 = "Suburban", N3, IF(Inputs!B9 = "Rural",N4,"NA")))</f>
        <v>10</v>
      </c>
      <c r="P5" s="34">
        <v>2</v>
      </c>
      <c r="Q5" s="38">
        <f>IF(Inputs!$B$9 = "Urban", B5, IF(Inputs!$B$9 = "Suburban", F5, IF(Inputs!$B$9 = "Rural",J5,"NA")))</f>
        <v>4</v>
      </c>
      <c r="R5" s="38">
        <f t="shared" ref="R5:R24" si="3">Q5+R4</f>
        <v>6</v>
      </c>
    </row>
    <row r="6" spans="1:18" x14ac:dyDescent="0.35">
      <c r="A6" s="34">
        <v>3</v>
      </c>
      <c r="B6" s="38">
        <v>14</v>
      </c>
      <c r="C6" s="38">
        <f t="shared" si="0"/>
        <v>40</v>
      </c>
      <c r="E6" s="34">
        <v>3</v>
      </c>
      <c r="F6" s="38">
        <v>9</v>
      </c>
      <c r="G6" s="38">
        <f t="shared" si="1"/>
        <v>21</v>
      </c>
      <c r="I6" s="34">
        <v>3</v>
      </c>
      <c r="J6" s="38">
        <v>6</v>
      </c>
      <c r="K6" s="38">
        <f t="shared" si="2"/>
        <v>12</v>
      </c>
      <c r="P6" s="34">
        <v>3</v>
      </c>
      <c r="Q6" s="38">
        <f>IF(Inputs!$B$9 = "Urban", B6, IF(Inputs!$B$9 = "Suburban", F6, IF(Inputs!$B$9 = "Rural",J6,"NA")))</f>
        <v>6</v>
      </c>
      <c r="R6" s="38">
        <f t="shared" si="3"/>
        <v>12</v>
      </c>
    </row>
    <row r="7" spans="1:18" x14ac:dyDescent="0.35">
      <c r="A7" s="34">
        <v>4</v>
      </c>
      <c r="B7" s="38">
        <v>11</v>
      </c>
      <c r="C7" s="38">
        <f t="shared" si="0"/>
        <v>51</v>
      </c>
      <c r="E7" s="34">
        <v>4</v>
      </c>
      <c r="F7" s="38">
        <v>10</v>
      </c>
      <c r="G7" s="38">
        <f t="shared" si="1"/>
        <v>31</v>
      </c>
      <c r="I7" s="34">
        <v>4</v>
      </c>
      <c r="J7" s="38">
        <v>7</v>
      </c>
      <c r="K7" s="38">
        <f t="shared" si="2"/>
        <v>19</v>
      </c>
      <c r="M7" s="42" t="s">
        <v>64</v>
      </c>
      <c r="N7" s="42"/>
      <c r="P7" s="34">
        <v>4</v>
      </c>
      <c r="Q7" s="38">
        <f>IF(Inputs!$B$9 = "Urban", B7, IF(Inputs!$B$9 = "Suburban", F7, IF(Inputs!$B$9 = "Rural",J7,"NA")))</f>
        <v>7</v>
      </c>
      <c r="R7" s="38">
        <f t="shared" si="3"/>
        <v>19</v>
      </c>
    </row>
    <row r="8" spans="1:18" x14ac:dyDescent="0.35">
      <c r="A8" s="34">
        <v>5</v>
      </c>
      <c r="B8" s="38">
        <v>8</v>
      </c>
      <c r="C8" s="38">
        <f t="shared" si="0"/>
        <v>59</v>
      </c>
      <c r="E8" s="34">
        <v>5</v>
      </c>
      <c r="F8" s="38">
        <v>10</v>
      </c>
      <c r="G8" s="38">
        <f t="shared" si="1"/>
        <v>41</v>
      </c>
      <c r="I8" s="34">
        <v>5</v>
      </c>
      <c r="J8" s="38">
        <v>9</v>
      </c>
      <c r="K8" s="38">
        <f t="shared" si="2"/>
        <v>28</v>
      </c>
      <c r="M8" s="4" t="s">
        <v>55</v>
      </c>
      <c r="N8" s="38">
        <f>IF(Inputs!B8 &gt; A24, 100, INDEX(Model_TripDistanceDistributions!$C$3:$C$24,MATCH(TRUE,INDEX(Model_TripDistanceDistributions!$A$3:$A$24&gt;(Inputs!B8/PI()),0),)))</f>
        <v>69.2</v>
      </c>
      <c r="P8" s="34">
        <v>5</v>
      </c>
      <c r="Q8" s="38">
        <f>IF(Inputs!$B$9 = "Urban", B8, IF(Inputs!$B$9 = "Suburban", F8, IF(Inputs!$B$9 = "Rural",J8,"NA")))</f>
        <v>9</v>
      </c>
      <c r="R8" s="38">
        <f t="shared" si="3"/>
        <v>28</v>
      </c>
    </row>
    <row r="9" spans="1:18" x14ac:dyDescent="0.35">
      <c r="A9" s="34">
        <v>6</v>
      </c>
      <c r="B9" s="38">
        <v>5.8</v>
      </c>
      <c r="C9" s="38">
        <f t="shared" si="0"/>
        <v>64.8</v>
      </c>
      <c r="E9" s="34">
        <v>6</v>
      </c>
      <c r="F9" s="38">
        <v>10</v>
      </c>
      <c r="G9" s="38">
        <f t="shared" si="1"/>
        <v>51</v>
      </c>
      <c r="I9" s="34">
        <v>6</v>
      </c>
      <c r="J9" s="38">
        <v>10</v>
      </c>
      <c r="K9" s="38">
        <f t="shared" si="2"/>
        <v>38</v>
      </c>
      <c r="M9" s="4" t="s">
        <v>56</v>
      </c>
      <c r="N9" s="38">
        <f>IF(Inputs!B8 &gt; E24, 100, INDEX(Model_TripDistanceDistributions!$G$3:$G$24,MATCH(TRUE,INDEX(Model_TripDistanceDistributions!$E$3:$E$24&gt;(Inputs!B8/PI()),0),)))</f>
        <v>60</v>
      </c>
      <c r="P9" s="34">
        <v>6</v>
      </c>
      <c r="Q9" s="38">
        <f>IF(Inputs!$B$9 = "Urban", B9, IF(Inputs!$B$9 = "Suburban", F9, IF(Inputs!$B$9 = "Rural",J9,"NA")))</f>
        <v>10</v>
      </c>
      <c r="R9" s="38">
        <f t="shared" si="3"/>
        <v>38</v>
      </c>
    </row>
    <row r="10" spans="1:18" x14ac:dyDescent="0.35">
      <c r="A10" s="34">
        <v>7</v>
      </c>
      <c r="B10" s="38">
        <v>4.4000000000000004</v>
      </c>
      <c r="C10" s="38">
        <f t="shared" si="0"/>
        <v>69.2</v>
      </c>
      <c r="E10" s="34">
        <v>7</v>
      </c>
      <c r="F10" s="38">
        <v>9</v>
      </c>
      <c r="G10" s="38">
        <f t="shared" si="1"/>
        <v>60</v>
      </c>
      <c r="I10" s="34">
        <v>7</v>
      </c>
      <c r="J10" s="38">
        <v>9.5</v>
      </c>
      <c r="K10" s="38">
        <f t="shared" si="2"/>
        <v>47.5</v>
      </c>
      <c r="M10" s="4" t="s">
        <v>57</v>
      </c>
      <c r="N10" s="38">
        <f>IF(Inputs!B8 &gt; I24, 100, INDEX(Model_TripDistanceDistributions!$K$3:$K$24,MATCH(TRUE,INDEX(Model_TripDistanceDistributions!$I$3:$I$24&gt;(Inputs!B8/PI()),0),)))</f>
        <v>47.5</v>
      </c>
      <c r="P10" s="34">
        <v>7</v>
      </c>
      <c r="Q10" s="38">
        <f>IF(Inputs!$B$9 = "Urban", B10, IF(Inputs!$B$9 = "Suburban", F10, IF(Inputs!$B$9 = "Rural",J10,"NA")))</f>
        <v>9.5</v>
      </c>
      <c r="R10" s="38">
        <f t="shared" si="3"/>
        <v>47.5</v>
      </c>
    </row>
    <row r="11" spans="1:18" x14ac:dyDescent="0.35">
      <c r="A11" s="34">
        <v>8</v>
      </c>
      <c r="B11" s="38">
        <v>3.6</v>
      </c>
      <c r="C11" s="38">
        <f t="shared" si="0"/>
        <v>72.8</v>
      </c>
      <c r="E11" s="34">
        <v>8</v>
      </c>
      <c r="F11" s="38">
        <v>8</v>
      </c>
      <c r="G11" s="38">
        <f t="shared" si="1"/>
        <v>68</v>
      </c>
      <c r="I11" s="34">
        <v>8</v>
      </c>
      <c r="J11" s="38">
        <v>8.1999999999999993</v>
      </c>
      <c r="K11" s="38">
        <f t="shared" si="2"/>
        <v>55.7</v>
      </c>
      <c r="P11" s="34">
        <v>8</v>
      </c>
      <c r="Q11" s="38">
        <f>IF(Inputs!$B$9 = "Urban", B11, IF(Inputs!$B$9 = "Suburban", F11, IF(Inputs!$B$9 = "Rural",J11,"NA")))</f>
        <v>8.1999999999999993</v>
      </c>
      <c r="R11" s="38">
        <f t="shared" si="3"/>
        <v>55.7</v>
      </c>
    </row>
    <row r="12" spans="1:18" x14ac:dyDescent="0.35">
      <c r="A12" s="34">
        <v>9</v>
      </c>
      <c r="B12" s="38">
        <v>3.2</v>
      </c>
      <c r="C12" s="38">
        <f t="shared" si="0"/>
        <v>76</v>
      </c>
      <c r="E12" s="34">
        <v>9</v>
      </c>
      <c r="F12" s="38">
        <v>5</v>
      </c>
      <c r="G12" s="38">
        <f t="shared" si="1"/>
        <v>73</v>
      </c>
      <c r="I12" s="34">
        <v>9</v>
      </c>
      <c r="J12" s="38">
        <v>7.1</v>
      </c>
      <c r="K12" s="38">
        <f t="shared" si="2"/>
        <v>62.800000000000004</v>
      </c>
      <c r="P12" s="34">
        <v>9</v>
      </c>
      <c r="Q12" s="38">
        <f>IF(Inputs!$B$9 = "Urban", B12, IF(Inputs!$B$9 = "Suburban", F12, IF(Inputs!$B$9 = "Rural",J12,"NA")))</f>
        <v>7.1</v>
      </c>
      <c r="R12" s="38">
        <f t="shared" si="3"/>
        <v>62.800000000000004</v>
      </c>
    </row>
    <row r="13" spans="1:18" x14ac:dyDescent="0.35">
      <c r="A13" s="34">
        <v>10</v>
      </c>
      <c r="B13" s="38">
        <v>2.9</v>
      </c>
      <c r="C13" s="38">
        <f t="shared" si="0"/>
        <v>78.900000000000006</v>
      </c>
      <c r="E13" s="34">
        <v>10</v>
      </c>
      <c r="F13" s="38">
        <v>4</v>
      </c>
      <c r="G13" s="38">
        <f t="shared" si="1"/>
        <v>77</v>
      </c>
      <c r="I13" s="34">
        <v>10</v>
      </c>
      <c r="J13" s="38">
        <v>5.9</v>
      </c>
      <c r="K13" s="38">
        <f t="shared" si="2"/>
        <v>68.7</v>
      </c>
      <c r="P13" s="34">
        <v>10</v>
      </c>
      <c r="Q13" s="38">
        <f>IF(Inputs!$B$9 = "Urban", B13, IF(Inputs!$B$9 = "Suburban", F13, IF(Inputs!$B$9 = "Rural",J13,"NA")))</f>
        <v>5.9</v>
      </c>
      <c r="R13" s="38">
        <f t="shared" si="3"/>
        <v>68.7</v>
      </c>
    </row>
    <row r="14" spans="1:18" x14ac:dyDescent="0.35">
      <c r="A14" s="34">
        <v>11</v>
      </c>
      <c r="B14" s="38">
        <v>2.5</v>
      </c>
      <c r="C14" s="38">
        <f t="shared" si="0"/>
        <v>81.400000000000006</v>
      </c>
      <c r="E14" s="34">
        <v>11</v>
      </c>
      <c r="F14" s="38">
        <v>3</v>
      </c>
      <c r="G14" s="38">
        <f t="shared" si="1"/>
        <v>80</v>
      </c>
      <c r="I14" s="34">
        <v>11</v>
      </c>
      <c r="J14" s="38">
        <v>5</v>
      </c>
      <c r="K14" s="38">
        <f t="shared" si="2"/>
        <v>73.7</v>
      </c>
      <c r="P14" s="34">
        <v>11</v>
      </c>
      <c r="Q14" s="38">
        <f>IF(Inputs!$B$9 = "Urban", B14, IF(Inputs!$B$9 = "Suburban", F14, IF(Inputs!$B$9 = "Rural",J14,"NA")))</f>
        <v>5</v>
      </c>
      <c r="R14" s="38">
        <f t="shared" si="3"/>
        <v>73.7</v>
      </c>
    </row>
    <row r="15" spans="1:18" x14ac:dyDescent="0.35">
      <c r="A15" s="34">
        <v>12</v>
      </c>
      <c r="B15" s="38">
        <v>2.2000000000000002</v>
      </c>
      <c r="C15" s="38">
        <f t="shared" si="0"/>
        <v>83.600000000000009</v>
      </c>
      <c r="E15" s="34">
        <v>12</v>
      </c>
      <c r="F15" s="38">
        <v>2.6</v>
      </c>
      <c r="G15" s="38">
        <f t="shared" si="1"/>
        <v>82.6</v>
      </c>
      <c r="I15" s="34">
        <v>12</v>
      </c>
      <c r="J15" s="38">
        <v>4.2</v>
      </c>
      <c r="K15" s="38">
        <f t="shared" si="2"/>
        <v>77.900000000000006</v>
      </c>
      <c r="P15" s="34">
        <v>12</v>
      </c>
      <c r="Q15" s="38">
        <f>IF(Inputs!$B$9 = "Urban", B15, IF(Inputs!$B$9 = "Suburban", F15, IF(Inputs!$B$9 = "Rural",J15,"NA")))</f>
        <v>4.2</v>
      </c>
      <c r="R15" s="38">
        <f t="shared" si="3"/>
        <v>77.900000000000006</v>
      </c>
    </row>
    <row r="16" spans="1:18" x14ac:dyDescent="0.35">
      <c r="A16" s="34">
        <v>13</v>
      </c>
      <c r="B16" s="38">
        <v>2</v>
      </c>
      <c r="C16" s="38">
        <f t="shared" si="0"/>
        <v>85.600000000000009</v>
      </c>
      <c r="E16" s="34">
        <v>13</v>
      </c>
      <c r="F16" s="38">
        <v>2</v>
      </c>
      <c r="G16" s="38">
        <f t="shared" si="1"/>
        <v>84.6</v>
      </c>
      <c r="I16" s="34">
        <v>13</v>
      </c>
      <c r="J16" s="38">
        <v>3.1</v>
      </c>
      <c r="K16" s="38">
        <f t="shared" si="2"/>
        <v>81</v>
      </c>
      <c r="P16" s="34">
        <v>13</v>
      </c>
      <c r="Q16" s="38">
        <f>IF(Inputs!$B$9 = "Urban", B16, IF(Inputs!$B$9 = "Suburban", F16, IF(Inputs!$B$9 = "Rural",J16,"NA")))</f>
        <v>3.1</v>
      </c>
      <c r="R16" s="38">
        <f t="shared" si="3"/>
        <v>81</v>
      </c>
    </row>
    <row r="17" spans="1:18" x14ac:dyDescent="0.35">
      <c r="A17" s="34">
        <v>14</v>
      </c>
      <c r="B17" s="38">
        <v>1.8</v>
      </c>
      <c r="C17" s="38">
        <f t="shared" si="0"/>
        <v>87.4</v>
      </c>
      <c r="E17" s="34">
        <v>14</v>
      </c>
      <c r="F17" s="38">
        <v>1.8</v>
      </c>
      <c r="G17" s="38">
        <f t="shared" si="1"/>
        <v>86.399999999999991</v>
      </c>
      <c r="I17" s="34">
        <v>14</v>
      </c>
      <c r="J17" s="38">
        <v>2.2000000000000002</v>
      </c>
      <c r="K17" s="38">
        <f t="shared" si="2"/>
        <v>83.2</v>
      </c>
      <c r="P17" s="34">
        <v>14</v>
      </c>
      <c r="Q17" s="38">
        <f>IF(Inputs!$B$9 = "Urban", B17, IF(Inputs!$B$9 = "Suburban", F17, IF(Inputs!$B$9 = "Rural",J17,"NA")))</f>
        <v>2.2000000000000002</v>
      </c>
      <c r="R17" s="38">
        <f t="shared" si="3"/>
        <v>83.2</v>
      </c>
    </row>
    <row r="18" spans="1:18" x14ac:dyDescent="0.35">
      <c r="A18" s="34">
        <v>15</v>
      </c>
      <c r="B18" s="38">
        <v>1.6</v>
      </c>
      <c r="C18" s="38">
        <f t="shared" si="0"/>
        <v>89</v>
      </c>
      <c r="E18" s="34">
        <v>15</v>
      </c>
      <c r="F18" s="38">
        <v>1.7</v>
      </c>
      <c r="G18" s="38">
        <f t="shared" si="1"/>
        <v>88.1</v>
      </c>
      <c r="I18" s="34">
        <v>15</v>
      </c>
      <c r="J18" s="38">
        <v>2</v>
      </c>
      <c r="K18" s="38">
        <f t="shared" si="2"/>
        <v>85.2</v>
      </c>
      <c r="P18" s="34">
        <v>15</v>
      </c>
      <c r="Q18" s="38">
        <f>IF(Inputs!$B$9 = "Urban", B18, IF(Inputs!$B$9 = "Suburban", F18, IF(Inputs!$B$9 = "Rural",J18,"NA")))</f>
        <v>2</v>
      </c>
      <c r="R18" s="38">
        <f t="shared" si="3"/>
        <v>85.2</v>
      </c>
    </row>
    <row r="19" spans="1:18" x14ac:dyDescent="0.35">
      <c r="A19" s="34">
        <v>16</v>
      </c>
      <c r="B19" s="38">
        <v>1.4</v>
      </c>
      <c r="C19" s="38">
        <f t="shared" si="0"/>
        <v>90.4</v>
      </c>
      <c r="E19" s="34">
        <v>16</v>
      </c>
      <c r="F19" s="38">
        <v>1.6</v>
      </c>
      <c r="G19" s="38">
        <f t="shared" si="1"/>
        <v>89.699999999999989</v>
      </c>
      <c r="I19" s="34">
        <v>16</v>
      </c>
      <c r="J19" s="38">
        <v>1.8</v>
      </c>
      <c r="K19" s="38">
        <f t="shared" si="2"/>
        <v>87</v>
      </c>
      <c r="P19" s="34">
        <v>16</v>
      </c>
      <c r="Q19" s="38">
        <f>IF(Inputs!$B$9 = "Urban", B19, IF(Inputs!$B$9 = "Suburban", F19, IF(Inputs!$B$9 = "Rural",J19,"NA")))</f>
        <v>1.8</v>
      </c>
      <c r="R19" s="38">
        <f t="shared" si="3"/>
        <v>87</v>
      </c>
    </row>
    <row r="20" spans="1:18" x14ac:dyDescent="0.35">
      <c r="A20" s="34">
        <v>17</v>
      </c>
      <c r="B20" s="38">
        <v>1.3</v>
      </c>
      <c r="C20" s="38">
        <f t="shared" si="0"/>
        <v>91.7</v>
      </c>
      <c r="E20" s="34">
        <v>17</v>
      </c>
      <c r="F20" s="38">
        <v>1.5</v>
      </c>
      <c r="G20" s="38">
        <f t="shared" si="1"/>
        <v>91.199999999999989</v>
      </c>
      <c r="I20" s="34">
        <v>17</v>
      </c>
      <c r="J20" s="38">
        <v>1.7</v>
      </c>
      <c r="K20" s="38">
        <f t="shared" si="2"/>
        <v>88.7</v>
      </c>
      <c r="P20" s="34">
        <v>17</v>
      </c>
      <c r="Q20" s="38">
        <f>IF(Inputs!$B$9 = "Urban", B20, IF(Inputs!$B$9 = "Suburban", F20, IF(Inputs!$B$9 = "Rural",J20,"NA")))</f>
        <v>1.7</v>
      </c>
      <c r="R20" s="38">
        <f t="shared" si="3"/>
        <v>88.7</v>
      </c>
    </row>
    <row r="21" spans="1:18" x14ac:dyDescent="0.35">
      <c r="A21" s="34">
        <v>18</v>
      </c>
      <c r="B21" s="38">
        <v>1.2</v>
      </c>
      <c r="C21" s="38">
        <f t="shared" si="0"/>
        <v>92.9</v>
      </c>
      <c r="E21" s="34">
        <v>18</v>
      </c>
      <c r="F21" s="38">
        <v>1.4</v>
      </c>
      <c r="G21" s="38">
        <f t="shared" si="1"/>
        <v>92.6</v>
      </c>
      <c r="I21" s="34">
        <v>18</v>
      </c>
      <c r="J21" s="38">
        <v>1.6</v>
      </c>
      <c r="K21" s="38">
        <f t="shared" si="2"/>
        <v>90.3</v>
      </c>
      <c r="P21" s="34">
        <v>18</v>
      </c>
      <c r="Q21" s="38">
        <f>IF(Inputs!$B$9 = "Urban", B21, IF(Inputs!$B$9 = "Suburban", F21, IF(Inputs!$B$9 = "Rural",J21,"NA")))</f>
        <v>1.6</v>
      </c>
      <c r="R21" s="38">
        <f t="shared" si="3"/>
        <v>90.3</v>
      </c>
    </row>
    <row r="22" spans="1:18" x14ac:dyDescent="0.35">
      <c r="A22" s="34">
        <v>19</v>
      </c>
      <c r="B22" s="38">
        <v>1.1000000000000001</v>
      </c>
      <c r="C22" s="38">
        <f t="shared" si="0"/>
        <v>94</v>
      </c>
      <c r="E22" s="34">
        <v>19</v>
      </c>
      <c r="F22" s="38">
        <v>1.1000000000000001</v>
      </c>
      <c r="G22" s="38">
        <f t="shared" si="1"/>
        <v>93.699999999999989</v>
      </c>
      <c r="I22" s="34">
        <v>19</v>
      </c>
      <c r="J22" s="38">
        <v>1.5</v>
      </c>
      <c r="K22" s="38">
        <f t="shared" si="2"/>
        <v>91.8</v>
      </c>
      <c r="P22" s="34">
        <v>19</v>
      </c>
      <c r="Q22" s="38">
        <f>IF(Inputs!$B$9 = "Urban", B22, IF(Inputs!$B$9 = "Suburban", F22, IF(Inputs!$B$9 = "Rural",J22,"NA")))</f>
        <v>1.5</v>
      </c>
      <c r="R22" s="38">
        <f t="shared" si="3"/>
        <v>91.8</v>
      </c>
    </row>
    <row r="23" spans="1:18" x14ac:dyDescent="0.35">
      <c r="A23" s="34">
        <v>20</v>
      </c>
      <c r="B23" s="38">
        <v>1</v>
      </c>
      <c r="C23" s="38">
        <f t="shared" si="0"/>
        <v>95</v>
      </c>
      <c r="E23" s="34">
        <v>20</v>
      </c>
      <c r="F23" s="38">
        <v>1</v>
      </c>
      <c r="G23" s="38">
        <f t="shared" si="1"/>
        <v>94.699999999999989</v>
      </c>
      <c r="I23" s="34">
        <v>20</v>
      </c>
      <c r="J23" s="38">
        <v>1.4</v>
      </c>
      <c r="K23" s="38">
        <f t="shared" si="2"/>
        <v>93.2</v>
      </c>
      <c r="P23" s="34">
        <v>20</v>
      </c>
      <c r="Q23" s="38">
        <f>IF(Inputs!$B$9 = "Urban", B23, IF(Inputs!$B$9 = "Suburban", F23, IF(Inputs!$B$9 = "Rural",J23,"NA")))</f>
        <v>1.4</v>
      </c>
      <c r="R23" s="38">
        <f t="shared" si="3"/>
        <v>93.2</v>
      </c>
    </row>
    <row r="24" spans="1:18" x14ac:dyDescent="0.35">
      <c r="A24" s="34">
        <v>21</v>
      </c>
      <c r="B24" s="38">
        <v>5</v>
      </c>
      <c r="C24" s="38">
        <f t="shared" si="0"/>
        <v>100</v>
      </c>
      <c r="E24" s="34">
        <v>21</v>
      </c>
      <c r="F24" s="38">
        <v>5.3</v>
      </c>
      <c r="G24" s="38">
        <f t="shared" si="1"/>
        <v>99.999999999999986</v>
      </c>
      <c r="I24" s="34">
        <v>21</v>
      </c>
      <c r="J24" s="38">
        <v>6.8</v>
      </c>
      <c r="K24" s="38">
        <f t="shared" si="2"/>
        <v>100</v>
      </c>
      <c r="P24" s="34">
        <v>21</v>
      </c>
      <c r="Q24" s="38">
        <f>IF(Inputs!$B$9 = "Urban", B24, IF(Inputs!$B$9 = "Suburban", F24, IF(Inputs!$B$9 = "Rural",J24,"NA")))</f>
        <v>6.8</v>
      </c>
      <c r="R24" s="38">
        <f t="shared" si="3"/>
        <v>100</v>
      </c>
    </row>
    <row r="25" spans="1:18" x14ac:dyDescent="0.35">
      <c r="C25" s="1"/>
    </row>
    <row r="26" spans="1:18" x14ac:dyDescent="0.35">
      <c r="A26" s="33" t="s">
        <v>130</v>
      </c>
      <c r="B26" s="32"/>
      <c r="C26" s="42"/>
      <c r="D26" s="32"/>
      <c r="E26" s="32"/>
      <c r="F26" s="32"/>
      <c r="G26" s="32"/>
      <c r="H26" s="32"/>
      <c r="I26" s="32"/>
    </row>
    <row r="27" spans="1:18" x14ac:dyDescent="0.35">
      <c r="A27" s="2" t="s">
        <v>132</v>
      </c>
      <c r="C27" s="31"/>
    </row>
    <row r="28" spans="1:18" x14ac:dyDescent="0.35">
      <c r="C28" s="1"/>
    </row>
    <row r="29" spans="1:18" x14ac:dyDescent="0.35">
      <c r="C29" s="1"/>
    </row>
    <row r="30" spans="1:18" x14ac:dyDescent="0.35">
      <c r="C30" s="1"/>
    </row>
    <row r="32" spans="1:18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</sheetData>
  <mergeCells count="4">
    <mergeCell ref="A1:C1"/>
    <mergeCell ref="E1:G1"/>
    <mergeCell ref="I1:K1"/>
    <mergeCell ref="P1:R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BA573-73AD-AF45-83F0-4B72EA3154F5}">
  <sheetPr>
    <tabColor theme="8" tint="0.59999389629810485"/>
  </sheetPr>
  <dimension ref="A1:J29"/>
  <sheetViews>
    <sheetView workbookViewId="0">
      <selection activeCell="G15" sqref="G15"/>
    </sheetView>
  </sheetViews>
  <sheetFormatPr defaultColWidth="10.6640625" defaultRowHeight="15.5" x14ac:dyDescent="0.35"/>
  <cols>
    <col min="1" max="3" width="10.83203125" style="2"/>
    <col min="4" max="4" width="13.1640625" style="2" customWidth="1"/>
    <col min="5" max="7" width="10.83203125" style="2"/>
    <col min="9" max="9" width="47.83203125" customWidth="1"/>
  </cols>
  <sheetData>
    <row r="1" spans="1:10" x14ac:dyDescent="0.35">
      <c r="A1" s="133" t="s">
        <v>134</v>
      </c>
      <c r="B1" s="133"/>
      <c r="C1" s="133"/>
      <c r="D1" s="133"/>
      <c r="E1" s="133"/>
      <c r="I1" s="42" t="s">
        <v>64</v>
      </c>
      <c r="J1" s="42"/>
    </row>
    <row r="2" spans="1:10" x14ac:dyDescent="0.35">
      <c r="A2" s="32" t="s">
        <v>42</v>
      </c>
      <c r="B2" s="32" t="s">
        <v>43</v>
      </c>
      <c r="C2" s="32" t="s">
        <v>44</v>
      </c>
      <c r="D2" s="33" t="s">
        <v>45</v>
      </c>
      <c r="E2" s="33" t="s">
        <v>46</v>
      </c>
      <c r="I2" s="47" t="s">
        <v>33</v>
      </c>
      <c r="J2" s="48">
        <f>(E12-E8) + (E22-E19)</f>
        <v>41</v>
      </c>
    </row>
    <row r="3" spans="1:10" x14ac:dyDescent="0.35">
      <c r="A3" s="34">
        <v>0</v>
      </c>
      <c r="B3" s="38">
        <v>2</v>
      </c>
      <c r="C3" s="38">
        <v>2</v>
      </c>
      <c r="D3" s="38">
        <f>(C3+B3)/2</f>
        <v>2</v>
      </c>
      <c r="E3" s="38">
        <f>D3</f>
        <v>2</v>
      </c>
      <c r="I3" s="47" t="s">
        <v>34</v>
      </c>
      <c r="J3" s="48">
        <f>(100 - J2)*0.7</f>
        <v>41.3</v>
      </c>
    </row>
    <row r="4" spans="1:10" x14ac:dyDescent="0.35">
      <c r="A4" s="34">
        <v>1</v>
      </c>
      <c r="B4" s="38">
        <v>2</v>
      </c>
      <c r="C4" s="38">
        <v>2</v>
      </c>
      <c r="D4" s="38">
        <f t="shared" ref="D4:D26" si="0">(C4+B4)/2</f>
        <v>2</v>
      </c>
      <c r="E4" s="38">
        <f>D4+E3</f>
        <v>4</v>
      </c>
      <c r="I4" s="47" t="s">
        <v>35</v>
      </c>
      <c r="J4" s="48">
        <f>100  - (J3+J2)</f>
        <v>17.700000000000003</v>
      </c>
    </row>
    <row r="5" spans="1:10" x14ac:dyDescent="0.35">
      <c r="A5" s="34">
        <v>2</v>
      </c>
      <c r="B5" s="38">
        <v>1</v>
      </c>
      <c r="C5" s="38">
        <v>2</v>
      </c>
      <c r="D5" s="38">
        <f t="shared" si="0"/>
        <v>1.5</v>
      </c>
      <c r="E5" s="38">
        <f t="shared" ref="E5:E26" si="1">D5+E4</f>
        <v>5.5</v>
      </c>
    </row>
    <row r="6" spans="1:10" x14ac:dyDescent="0.35">
      <c r="A6" s="34">
        <v>3</v>
      </c>
      <c r="B6" s="38">
        <v>1</v>
      </c>
      <c r="C6" s="38">
        <v>3</v>
      </c>
      <c r="D6" s="38">
        <f t="shared" si="0"/>
        <v>2</v>
      </c>
      <c r="E6" s="38">
        <f t="shared" si="1"/>
        <v>7.5</v>
      </c>
    </row>
    <row r="7" spans="1:10" x14ac:dyDescent="0.35">
      <c r="A7" s="34">
        <v>4</v>
      </c>
      <c r="B7" s="38">
        <v>3</v>
      </c>
      <c r="C7" s="38">
        <v>4</v>
      </c>
      <c r="D7" s="38">
        <f t="shared" si="0"/>
        <v>3.5</v>
      </c>
      <c r="E7" s="38">
        <f t="shared" si="1"/>
        <v>11</v>
      </c>
    </row>
    <row r="8" spans="1:10" x14ac:dyDescent="0.35">
      <c r="A8" s="34">
        <v>5</v>
      </c>
      <c r="B8" s="38">
        <v>5</v>
      </c>
      <c r="C8" s="38">
        <v>4</v>
      </c>
      <c r="D8" s="38">
        <f t="shared" si="0"/>
        <v>4.5</v>
      </c>
      <c r="E8" s="38">
        <f t="shared" si="1"/>
        <v>15.5</v>
      </c>
    </row>
    <row r="9" spans="1:10" x14ac:dyDescent="0.35">
      <c r="A9" s="34">
        <v>6</v>
      </c>
      <c r="B9" s="38">
        <v>9</v>
      </c>
      <c r="C9" s="38">
        <v>3</v>
      </c>
      <c r="D9" s="38">
        <f t="shared" si="0"/>
        <v>6</v>
      </c>
      <c r="E9" s="38">
        <f t="shared" si="1"/>
        <v>21.5</v>
      </c>
    </row>
    <row r="10" spans="1:10" x14ac:dyDescent="0.35">
      <c r="A10" s="34">
        <v>7</v>
      </c>
      <c r="B10" s="38">
        <v>13</v>
      </c>
      <c r="C10" s="38">
        <v>2</v>
      </c>
      <c r="D10" s="38">
        <f t="shared" si="0"/>
        <v>7.5</v>
      </c>
      <c r="E10" s="38">
        <f t="shared" si="1"/>
        <v>29</v>
      </c>
    </row>
    <row r="11" spans="1:10" x14ac:dyDescent="0.35">
      <c r="A11" s="34">
        <v>8</v>
      </c>
      <c r="B11" s="38">
        <v>12</v>
      </c>
      <c r="C11" s="38">
        <v>2</v>
      </c>
      <c r="D11" s="38">
        <f t="shared" si="0"/>
        <v>7</v>
      </c>
      <c r="E11" s="38">
        <f t="shared" si="1"/>
        <v>36</v>
      </c>
    </row>
    <row r="12" spans="1:10" x14ac:dyDescent="0.35">
      <c r="A12" s="34">
        <v>9</v>
      </c>
      <c r="B12" s="38">
        <v>9</v>
      </c>
      <c r="C12" s="38">
        <v>2</v>
      </c>
      <c r="D12" s="38">
        <f t="shared" si="0"/>
        <v>5.5</v>
      </c>
      <c r="E12" s="38">
        <f t="shared" si="1"/>
        <v>41.5</v>
      </c>
    </row>
    <row r="13" spans="1:10" x14ac:dyDescent="0.35">
      <c r="A13" s="34">
        <v>10</v>
      </c>
      <c r="B13" s="38">
        <v>6</v>
      </c>
      <c r="C13" s="38">
        <v>3</v>
      </c>
      <c r="D13" s="38">
        <f t="shared" si="0"/>
        <v>4.5</v>
      </c>
      <c r="E13" s="38">
        <f t="shared" si="1"/>
        <v>46</v>
      </c>
    </row>
    <row r="14" spans="1:10" x14ac:dyDescent="0.35">
      <c r="A14" s="34">
        <v>11</v>
      </c>
      <c r="B14" s="38">
        <v>4</v>
      </c>
      <c r="C14" s="38">
        <v>4</v>
      </c>
      <c r="D14" s="38">
        <f t="shared" si="0"/>
        <v>4</v>
      </c>
      <c r="E14" s="38">
        <f t="shared" si="1"/>
        <v>50</v>
      </c>
    </row>
    <row r="15" spans="1:10" x14ac:dyDescent="0.35">
      <c r="A15" s="34">
        <v>12</v>
      </c>
      <c r="B15" s="38">
        <v>3</v>
      </c>
      <c r="C15" s="38">
        <v>5</v>
      </c>
      <c r="D15" s="38">
        <f t="shared" si="0"/>
        <v>4</v>
      </c>
      <c r="E15" s="38">
        <f t="shared" si="1"/>
        <v>54</v>
      </c>
    </row>
    <row r="16" spans="1:10" x14ac:dyDescent="0.35">
      <c r="A16" s="34">
        <v>13</v>
      </c>
      <c r="B16" s="38">
        <v>2</v>
      </c>
      <c r="C16" s="38">
        <v>6</v>
      </c>
      <c r="D16" s="38">
        <f t="shared" si="0"/>
        <v>4</v>
      </c>
      <c r="E16" s="38">
        <f t="shared" si="1"/>
        <v>58</v>
      </c>
    </row>
    <row r="17" spans="1:7" x14ac:dyDescent="0.35">
      <c r="A17" s="34">
        <v>14</v>
      </c>
      <c r="B17" s="38">
        <v>2</v>
      </c>
      <c r="C17" s="38">
        <v>7</v>
      </c>
      <c r="D17" s="38">
        <f t="shared" si="0"/>
        <v>4.5</v>
      </c>
      <c r="E17" s="38">
        <f t="shared" si="1"/>
        <v>62.5</v>
      </c>
    </row>
    <row r="18" spans="1:7" x14ac:dyDescent="0.35">
      <c r="A18" s="34">
        <v>15</v>
      </c>
      <c r="B18" s="38">
        <v>2</v>
      </c>
      <c r="C18" s="38">
        <v>9</v>
      </c>
      <c r="D18" s="38">
        <f t="shared" si="0"/>
        <v>5.5</v>
      </c>
      <c r="E18" s="38">
        <f t="shared" si="1"/>
        <v>68</v>
      </c>
    </row>
    <row r="19" spans="1:7" x14ac:dyDescent="0.35">
      <c r="A19" s="34">
        <v>16</v>
      </c>
      <c r="B19" s="38">
        <v>2</v>
      </c>
      <c r="C19" s="38">
        <v>9</v>
      </c>
      <c r="D19" s="38">
        <f t="shared" si="0"/>
        <v>5.5</v>
      </c>
      <c r="E19" s="38">
        <f t="shared" si="1"/>
        <v>73.5</v>
      </c>
    </row>
    <row r="20" spans="1:7" x14ac:dyDescent="0.35">
      <c r="A20" s="34">
        <v>17</v>
      </c>
      <c r="B20" s="38">
        <v>3</v>
      </c>
      <c r="C20" s="38">
        <v>8</v>
      </c>
      <c r="D20" s="38">
        <f t="shared" si="0"/>
        <v>5.5</v>
      </c>
      <c r="E20" s="38">
        <f t="shared" si="1"/>
        <v>79</v>
      </c>
    </row>
    <row r="21" spans="1:7" x14ac:dyDescent="0.35">
      <c r="A21" s="34">
        <v>18</v>
      </c>
      <c r="B21" s="38">
        <v>3</v>
      </c>
      <c r="C21" s="38">
        <v>7</v>
      </c>
      <c r="D21" s="38">
        <f t="shared" si="0"/>
        <v>5</v>
      </c>
      <c r="E21" s="38">
        <f t="shared" si="1"/>
        <v>84</v>
      </c>
    </row>
    <row r="22" spans="1:7" x14ac:dyDescent="0.35">
      <c r="A22" s="34">
        <v>19</v>
      </c>
      <c r="B22" s="38">
        <v>4</v>
      </c>
      <c r="C22" s="38">
        <v>5</v>
      </c>
      <c r="D22" s="38">
        <f t="shared" si="0"/>
        <v>4.5</v>
      </c>
      <c r="E22" s="38">
        <f t="shared" si="1"/>
        <v>88.5</v>
      </c>
    </row>
    <row r="23" spans="1:7" x14ac:dyDescent="0.35">
      <c r="A23" s="34">
        <v>20</v>
      </c>
      <c r="B23" s="38">
        <v>4</v>
      </c>
      <c r="C23" s="38">
        <v>3</v>
      </c>
      <c r="D23" s="38">
        <f t="shared" si="0"/>
        <v>3.5</v>
      </c>
      <c r="E23" s="38">
        <f t="shared" si="1"/>
        <v>92</v>
      </c>
    </row>
    <row r="24" spans="1:7" x14ac:dyDescent="0.35">
      <c r="A24" s="34">
        <v>21</v>
      </c>
      <c r="B24" s="38">
        <v>3</v>
      </c>
      <c r="C24" s="38">
        <v>3</v>
      </c>
      <c r="D24" s="38">
        <f t="shared" si="0"/>
        <v>3</v>
      </c>
      <c r="E24" s="38">
        <f t="shared" si="1"/>
        <v>95</v>
      </c>
    </row>
    <row r="25" spans="1:7" x14ac:dyDescent="0.35">
      <c r="A25" s="34">
        <v>22</v>
      </c>
      <c r="B25" s="38">
        <v>3</v>
      </c>
      <c r="C25" s="38">
        <v>3</v>
      </c>
      <c r="D25" s="38">
        <f t="shared" si="0"/>
        <v>3</v>
      </c>
      <c r="E25" s="38">
        <f t="shared" si="1"/>
        <v>98</v>
      </c>
    </row>
    <row r="26" spans="1:7" x14ac:dyDescent="0.35">
      <c r="A26" s="34">
        <v>23</v>
      </c>
      <c r="B26" s="38">
        <v>2</v>
      </c>
      <c r="C26" s="38">
        <v>2</v>
      </c>
      <c r="D26" s="38">
        <f t="shared" si="0"/>
        <v>2</v>
      </c>
      <c r="E26" s="38">
        <f t="shared" si="1"/>
        <v>100</v>
      </c>
    </row>
    <row r="28" spans="1:7" x14ac:dyDescent="0.35">
      <c r="A28" s="33" t="s">
        <v>130</v>
      </c>
      <c r="B28" s="32"/>
      <c r="C28" s="42"/>
      <c r="D28" s="32"/>
      <c r="E28" s="32"/>
      <c r="F28" s="32"/>
      <c r="G28" s="32"/>
    </row>
    <row r="29" spans="1:7" x14ac:dyDescent="0.35">
      <c r="A29" s="2" t="s">
        <v>133</v>
      </c>
      <c r="C29" s="31"/>
    </row>
  </sheetData>
  <mergeCells count="1">
    <mergeCell ref="A1:E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B793-6CAC-9E4A-AA36-F4A86A4B17D5}">
  <sheetPr>
    <tabColor theme="8" tint="0.59999389629810485"/>
  </sheetPr>
  <dimension ref="A1:B10"/>
  <sheetViews>
    <sheetView workbookViewId="0">
      <selection activeCell="I9" sqref="I9"/>
    </sheetView>
  </sheetViews>
  <sheetFormatPr defaultColWidth="10.6640625" defaultRowHeight="15.5" x14ac:dyDescent="0.35"/>
  <cols>
    <col min="1" max="1" width="43.1640625" bestFit="1" customWidth="1"/>
    <col min="2" max="2" width="18.33203125" bestFit="1" customWidth="1"/>
  </cols>
  <sheetData>
    <row r="1" spans="1:2" x14ac:dyDescent="0.35">
      <c r="A1" s="42" t="s">
        <v>66</v>
      </c>
      <c r="B1" s="42"/>
    </row>
    <row r="2" spans="1:2" x14ac:dyDescent="0.35">
      <c r="A2" s="2" t="s">
        <v>68</v>
      </c>
      <c r="B2" s="38">
        <v>3.0998000000000001</v>
      </c>
    </row>
    <row r="3" spans="1:2" x14ac:dyDescent="0.35">
      <c r="A3" s="2" t="s">
        <v>69</v>
      </c>
      <c r="B3" s="38">
        <v>-1.5399999999999999E-3</v>
      </c>
    </row>
    <row r="4" spans="1:2" x14ac:dyDescent="0.35">
      <c r="A4" s="2" t="s">
        <v>70</v>
      </c>
      <c r="B4" s="38">
        <v>809</v>
      </c>
    </row>
    <row r="5" spans="1:2" x14ac:dyDescent="0.35">
      <c r="A5" s="2" t="s">
        <v>71</v>
      </c>
      <c r="B5" s="38">
        <v>20.219000000000001</v>
      </c>
    </row>
    <row r="6" spans="1:2" x14ac:dyDescent="0.35">
      <c r="A6" s="2" t="s">
        <v>72</v>
      </c>
      <c r="B6" s="38">
        <v>-9.2099999999999994E-3</v>
      </c>
    </row>
    <row r="7" spans="1:2" x14ac:dyDescent="0.35">
      <c r="A7" s="2" t="s">
        <v>73</v>
      </c>
      <c r="B7" s="38">
        <v>2471</v>
      </c>
    </row>
    <row r="8" spans="1:2" x14ac:dyDescent="0.35">
      <c r="A8" s="2" t="s">
        <v>74</v>
      </c>
      <c r="B8" s="38">
        <v>5.0499999999999998E-3</v>
      </c>
    </row>
    <row r="9" spans="1:2" x14ac:dyDescent="0.35">
      <c r="A9" s="2" t="s">
        <v>75</v>
      </c>
      <c r="B9" s="38">
        <v>-2.8100000000000002E-6</v>
      </c>
    </row>
    <row r="10" spans="1:2" x14ac:dyDescent="0.35">
      <c r="A10" s="2" t="s">
        <v>76</v>
      </c>
      <c r="B10" s="38">
        <v>0.44400000000000001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Introduction</vt:lpstr>
      <vt:lpstr>Inputs</vt:lpstr>
      <vt:lpstr>Dashboard</vt:lpstr>
      <vt:lpstr>Model_TripData</vt:lpstr>
      <vt:lpstr>Model_CostBenefits</vt:lpstr>
      <vt:lpstr>Model_TripDistanceDistributions</vt:lpstr>
      <vt:lpstr>Model_TripTimeDistributions</vt:lpstr>
      <vt:lpstr>Model_KPIcoefficients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Johanna Lehtmets</cp:lastModifiedBy>
  <dcterms:created xsi:type="dcterms:W3CDTF">2020-03-12T18:15:21Z</dcterms:created>
  <dcterms:modified xsi:type="dcterms:W3CDTF">2021-12-03T14:09:02Z</dcterms:modified>
</cp:coreProperties>
</file>