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Ex1.xml" ContentType="application/vnd.ms-office.chartex+xml"/>
  <Override PartName="/xl/charts/style9.xml" ContentType="application/vnd.ms-office.chartstyle+xml"/>
  <Override PartName="/xl/charts/colors9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iorg-my.sharepoint.com/personal/johanna_lehtmets_sei_org/Documents/Documents/RESPONSE/2.2, 4.3/"/>
    </mc:Choice>
  </mc:AlternateContent>
  <xr:revisionPtr revIDLastSave="0" documentId="8_{11770DAF-F7A0-41C0-811C-25D7A93A1A03}" xr6:coauthVersionLast="47" xr6:coauthVersionMax="47" xr10:uidLastSave="{00000000-0000-0000-0000-000000000000}"/>
  <bookViews>
    <workbookView xWindow="-110" yWindow="-110" windowWidth="19420" windowHeight="10420" xr2:uid="{EBD644C0-D715-B54C-83B3-F4A3584D39DD}"/>
  </bookViews>
  <sheets>
    <sheet name="Introduction" sheetId="16" r:id="rId1"/>
    <sheet name="Inputs" sheetId="4" r:id="rId2"/>
    <sheet name="Dashboard" sheetId="10" r:id="rId3"/>
    <sheet name="Model_TripData" sheetId="9" state="hidden" r:id="rId4"/>
    <sheet name="Model_CostBenefits" sheetId="6" state="hidden" r:id="rId5"/>
    <sheet name="Model_TripDistanceDistributions" sheetId="11" state="hidden" r:id="rId6"/>
    <sheet name="Model_TripTimeDistributions" sheetId="13" state="hidden" r:id="rId7"/>
    <sheet name="Model_KPIcoefficients" sheetId="15" state="hidden" r:id="rId8"/>
  </sheets>
  <definedNames>
    <definedName name="_xlchart.v5.0" hidden="1">Dashboard!$B$47:$B$49</definedName>
    <definedName name="_xlchart.v5.1" hidden="1">Dashboard!$C$47:$C$49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9" l="1"/>
  <c r="C27" i="10" l="1"/>
  <c r="Q24" i="11"/>
  <c r="Q23" i="11"/>
  <c r="Q22" i="11"/>
  <c r="Q21" i="11"/>
  <c r="Q20" i="11"/>
  <c r="Q19" i="11"/>
  <c r="Q18" i="11"/>
  <c r="Q17" i="11"/>
  <c r="Q16" i="11"/>
  <c r="Q15" i="11"/>
  <c r="Q14" i="11"/>
  <c r="Q13" i="11"/>
  <c r="Q12" i="11"/>
  <c r="Q11" i="11"/>
  <c r="Q10" i="11"/>
  <c r="Q9" i="11"/>
  <c r="Q8" i="11"/>
  <c r="Q7" i="11"/>
  <c r="Q6" i="11"/>
  <c r="Q5" i="11"/>
  <c r="Q4" i="11"/>
  <c r="Q3" i="11"/>
  <c r="R3" i="11" s="1"/>
  <c r="N5" i="11"/>
  <c r="B66" i="4"/>
  <c r="R4" i="11" l="1"/>
  <c r="R5" i="11" s="1"/>
  <c r="R6" i="11" s="1"/>
  <c r="R7" i="11" s="1"/>
  <c r="R8" i="11" s="1"/>
  <c r="R9" i="11" s="1"/>
  <c r="R10" i="11" s="1"/>
  <c r="R11" i="11" s="1"/>
  <c r="R12" i="11" s="1"/>
  <c r="R13" i="11" s="1"/>
  <c r="R14" i="11" s="1"/>
  <c r="R15" i="11" s="1"/>
  <c r="R16" i="11" s="1"/>
  <c r="R17" i="11" s="1"/>
  <c r="R18" i="11" s="1"/>
  <c r="R19" i="11" s="1"/>
  <c r="R20" i="11" s="1"/>
  <c r="R21" i="11" s="1"/>
  <c r="R22" i="11" s="1"/>
  <c r="R23" i="11" s="1"/>
  <c r="R24" i="11" s="1"/>
  <c r="D35" i="16"/>
  <c r="C35" i="16"/>
  <c r="B19" i="4"/>
  <c r="B58" i="4"/>
  <c r="C5" i="9"/>
  <c r="C3" i="11"/>
  <c r="C4" i="11" s="1"/>
  <c r="C5" i="11" s="1"/>
  <c r="C6" i="11" s="1"/>
  <c r="C7" i="11" s="1"/>
  <c r="C8" i="11" s="1"/>
  <c r="C9" i="11" s="1"/>
  <c r="C10" i="11" s="1"/>
  <c r="C10" i="6"/>
  <c r="C6" i="10"/>
  <c r="K3" i="11"/>
  <c r="K4" i="11" s="1"/>
  <c r="K5" i="11" s="1"/>
  <c r="K6" i="11" s="1"/>
  <c r="K7" i="11" s="1"/>
  <c r="K8" i="11" s="1"/>
  <c r="K9" i="11" s="1"/>
  <c r="K10" i="11" s="1"/>
  <c r="G3" i="11"/>
  <c r="G4" i="11" s="1"/>
  <c r="G5" i="11" s="1"/>
  <c r="G6" i="11" s="1"/>
  <c r="G7" i="11" s="1"/>
  <c r="G8" i="11" s="1"/>
  <c r="G9" i="11" s="1"/>
  <c r="G10" i="11" s="1"/>
  <c r="C11" i="9"/>
  <c r="B17" i="9"/>
  <c r="C11" i="11" l="1"/>
  <c r="C12" i="11" s="1"/>
  <c r="C13" i="11" s="1"/>
  <c r="C14" i="11" s="1"/>
  <c r="C15" i="11" s="1"/>
  <c r="C16" i="11" s="1"/>
  <c r="C17" i="11" s="1"/>
  <c r="C18" i="11" s="1"/>
  <c r="C19" i="11" s="1"/>
  <c r="C20" i="11" s="1"/>
  <c r="C21" i="11" s="1"/>
  <c r="C22" i="11" s="1"/>
  <c r="C23" i="11" s="1"/>
  <c r="C24" i="11" s="1"/>
  <c r="N8" i="11"/>
  <c r="G11" i="11"/>
  <c r="G12" i="11" s="1"/>
  <c r="G13" i="11" s="1"/>
  <c r="G14" i="11" s="1"/>
  <c r="G15" i="11" s="1"/>
  <c r="G16" i="11" s="1"/>
  <c r="G17" i="11" s="1"/>
  <c r="G18" i="11" s="1"/>
  <c r="G19" i="11" s="1"/>
  <c r="G20" i="11" s="1"/>
  <c r="G21" i="11" s="1"/>
  <c r="G22" i="11" s="1"/>
  <c r="G23" i="11" s="1"/>
  <c r="G24" i="11" s="1"/>
  <c r="N9" i="11"/>
  <c r="K11" i="11"/>
  <c r="K12" i="11" s="1"/>
  <c r="K13" i="11" s="1"/>
  <c r="K14" i="11" s="1"/>
  <c r="K15" i="11" s="1"/>
  <c r="K16" i="11" s="1"/>
  <c r="K17" i="11" s="1"/>
  <c r="K18" i="11" s="1"/>
  <c r="K19" i="11" s="1"/>
  <c r="K20" i="11" s="1"/>
  <c r="K21" i="11" s="1"/>
  <c r="K22" i="11" s="1"/>
  <c r="K23" i="11" s="1"/>
  <c r="K24" i="11" s="1"/>
  <c r="N10" i="11"/>
  <c r="C8" i="6"/>
  <c r="B3" i="9"/>
  <c r="C9" i="9" s="1"/>
  <c r="C10" i="9"/>
  <c r="D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3" i="13"/>
  <c r="E3" i="13" s="1"/>
  <c r="E4" i="13" s="1"/>
  <c r="E5" i="13" s="1"/>
  <c r="E6" i="13" s="1"/>
  <c r="E7" i="13" s="1"/>
  <c r="E8" i="13" s="1"/>
  <c r="E9" i="13" l="1"/>
  <c r="E10" i="13" s="1"/>
  <c r="E11" i="13" s="1"/>
  <c r="E12" i="13" s="1"/>
  <c r="B4" i="9"/>
  <c r="B20" i="9" s="1"/>
  <c r="E13" i="13" l="1"/>
  <c r="E14" i="13" s="1"/>
  <c r="E15" i="13" s="1"/>
  <c r="E16" i="13" s="1"/>
  <c r="E17" i="13" s="1"/>
  <c r="E18" i="13" s="1"/>
  <c r="E19" i="13" s="1"/>
  <c r="E20" i="13" s="1"/>
  <c r="E21" i="13" s="1"/>
  <c r="E22" i="13" s="1"/>
  <c r="C12" i="9"/>
  <c r="B32" i="9"/>
  <c r="B27" i="9"/>
  <c r="B35" i="9"/>
  <c r="B29" i="9" l="1"/>
  <c r="B28" i="9"/>
  <c r="B29" i="6" s="1"/>
  <c r="C8" i="9"/>
  <c r="C17" i="9" s="1"/>
  <c r="C16" i="9" s="1"/>
  <c r="C28" i="6" s="1"/>
  <c r="E23" i="13"/>
  <c r="E24" i="13" s="1"/>
  <c r="E25" i="13" s="1"/>
  <c r="E26" i="13" s="1"/>
  <c r="J2" i="13"/>
  <c r="J3" i="13" s="1"/>
  <c r="J4" i="13" s="1"/>
  <c r="B15" i="6"/>
  <c r="C3" i="10" l="1"/>
  <c r="B22" i="9"/>
  <c r="B3" i="6" s="1"/>
  <c r="B17" i="6" s="1"/>
  <c r="B23" i="9"/>
  <c r="B27" i="6" s="1"/>
  <c r="B5" i="6"/>
  <c r="B20" i="6" s="1"/>
  <c r="B24" i="9"/>
  <c r="B21" i="9"/>
  <c r="B4" i="6" s="1"/>
  <c r="B16" i="6" s="1"/>
  <c r="B14" i="6" l="1"/>
  <c r="B23" i="6" s="1"/>
  <c r="C4" i="9" l="1"/>
  <c r="C20" i="9" s="1"/>
  <c r="C11" i="6"/>
  <c r="C14" i="9"/>
  <c r="C9" i="6" s="1"/>
  <c r="C13" i="9"/>
  <c r="C4" i="10" s="1"/>
  <c r="C26" i="10" s="1"/>
  <c r="C24" i="10" l="1"/>
  <c r="C25" i="10"/>
  <c r="C5" i="10"/>
  <c r="C15" i="6"/>
  <c r="C48" i="10" s="1"/>
  <c r="C23" i="10"/>
  <c r="C32" i="9"/>
  <c r="C3" i="9"/>
  <c r="C27" i="9"/>
  <c r="C35" i="9"/>
  <c r="C29" i="9" l="1"/>
  <c r="C28" i="9"/>
  <c r="C29" i="6" s="1"/>
  <c r="C24" i="6"/>
  <c r="C55" i="10" s="1"/>
  <c r="C21" i="9"/>
  <c r="C4" i="6" s="1"/>
  <c r="C5" i="6"/>
  <c r="C20" i="6" s="1"/>
  <c r="C22" i="9"/>
  <c r="C3" i="6" s="1"/>
  <c r="C24" i="9"/>
  <c r="C23" i="9"/>
  <c r="C27" i="6" s="1"/>
  <c r="C30" i="6" l="1"/>
  <c r="C31" i="6"/>
  <c r="C50" i="10" s="1"/>
  <c r="C54" i="10" s="1"/>
  <c r="C17" i="6"/>
  <c r="C14" i="6"/>
  <c r="C23" i="6" s="1"/>
  <c r="C56" i="10" s="1"/>
  <c r="C16" i="6"/>
  <c r="C45" i="10"/>
  <c r="C46" i="10" l="1"/>
  <c r="C47" i="10" s="1"/>
  <c r="C49" i="10" l="1"/>
  <c r="C53" i="10"/>
</calcChain>
</file>

<file path=xl/sharedStrings.xml><?xml version="1.0" encoding="utf-8"?>
<sst xmlns="http://schemas.openxmlformats.org/spreadsheetml/2006/main" count="366" uniqueCount="282">
  <si>
    <t>Mode split: Auto (%)</t>
  </si>
  <si>
    <t>Mode split: Cycling (%)</t>
  </si>
  <si>
    <t>Mode split: Walking (%)</t>
  </si>
  <si>
    <t>AUTO</t>
  </si>
  <si>
    <t>CYCLING</t>
  </si>
  <si>
    <t>WALKING</t>
  </si>
  <si>
    <t>Proportion of trips taken with non-dedicated vehicles (%)</t>
  </si>
  <si>
    <t>Monthly  trips with dedicated vehicles (#)</t>
  </si>
  <si>
    <t>Monthly trips with non-dedicated vehicles (#)</t>
  </si>
  <si>
    <t>Dedicated service hours per month (hours)</t>
  </si>
  <si>
    <t>Monthly trips (all) (#)</t>
  </si>
  <si>
    <t>TOTAL COSTS</t>
  </si>
  <si>
    <t>Number of mass transit buses on road (#)</t>
  </si>
  <si>
    <t>Monthly mass transit trips (#)</t>
  </si>
  <si>
    <t>Monthly auto trips (#)</t>
  </si>
  <si>
    <t>Monthly cycling trips (#)</t>
  </si>
  <si>
    <t>Monthly walking trips (#)</t>
  </si>
  <si>
    <t>https://www.apta.com/wp-content/uploads/APTA_Fact-Book-2019_FINAL.pdf</t>
  </si>
  <si>
    <t>Average passengers per vehicle hour (PPVH) (#)</t>
  </si>
  <si>
    <t>Mode split: Mass transit - other (e.g. rail) (%)</t>
  </si>
  <si>
    <t>Mode split: Mass transit - bus (%)</t>
  </si>
  <si>
    <t>Does mode split add up to 100?</t>
  </si>
  <si>
    <t>Service hours per month (hours)</t>
  </si>
  <si>
    <t>Average trip distance (km)</t>
  </si>
  <si>
    <t>Average number of trips per person per day - all modes combined (#)</t>
  </si>
  <si>
    <t>Depreciation period of mass transit vehicle (years)</t>
  </si>
  <si>
    <t>https://www.liveabout.com/bus-cost-to-purchase-and-operate-2798845</t>
  </si>
  <si>
    <t>GENERAL</t>
  </si>
  <si>
    <t>https://www.translink.ca/-/media/Documents/plans_and_projects/managing_the_transit_network/bus_speed_reliability/2019_Bus_Speed_and_Reliability_Report.pdf?la=en&amp;hash=78C00AA8DF9DB5E10E1BF25CF7C7B5B1F05B9B47</t>
  </si>
  <si>
    <t>Average bus speed (km/h)</t>
  </si>
  <si>
    <t>VKT by transit buses per month (km)</t>
  </si>
  <si>
    <t>Average trips per vehicle per day (#)</t>
  </si>
  <si>
    <t>TOTAL BENEFITS</t>
  </si>
  <si>
    <t>Proportion of trips at peak times (%)</t>
  </si>
  <si>
    <t>Proportion of trips at off-peak times (%)</t>
  </si>
  <si>
    <t>Proportion of trips that are recreational/zero-cost (%)</t>
  </si>
  <si>
    <t>Passenger kilometres per month (km)</t>
  </si>
  <si>
    <t>Total population in zone (#)</t>
  </si>
  <si>
    <t>Zone type</t>
  </si>
  <si>
    <t>Upper bound (km)</t>
  </si>
  <si>
    <t>Proportion of trips (%)</t>
  </si>
  <si>
    <t>Zone perimeter length (km)</t>
  </si>
  <si>
    <t>Time</t>
  </si>
  <si>
    <t>Outbound Weight (%)</t>
  </si>
  <si>
    <t>Inbound Weight (%)</t>
  </si>
  <si>
    <t>Total Per Hour</t>
  </si>
  <si>
    <t>Cumulative % of trips</t>
  </si>
  <si>
    <t>Proportion of trips included by zone size (%)</t>
  </si>
  <si>
    <t>Proportion of trips included by service hours (%)</t>
  </si>
  <si>
    <t>Proportion of trips included by service days (%)</t>
  </si>
  <si>
    <t>AVERAGE DISTANCES BY ZONE TYPE</t>
  </si>
  <si>
    <r>
      <rPr>
        <b/>
        <sz val="12"/>
        <color rgb="FF000000"/>
        <rFont val="Arial"/>
        <family val="2"/>
      </rPr>
      <t>Final average travel distance</t>
    </r>
    <r>
      <rPr>
        <sz val="12"/>
        <color rgb="FF000000"/>
        <rFont val="Arial"/>
        <family val="2"/>
      </rPr>
      <t xml:space="preserve"> (km)</t>
    </r>
  </si>
  <si>
    <t>Average travel distance URBAN (km)</t>
  </si>
  <si>
    <t>Average travel distance SUBURBAN (km)</t>
  </si>
  <si>
    <t>Average travel distance RURAL (km)</t>
  </si>
  <si>
    <t>% of trips included by zone size URBAN (%)</t>
  </si>
  <si>
    <t>% of trips included by zone size SUBURBAN (%)</t>
  </si>
  <si>
    <t>% of trips included by zone size RURAL (%)</t>
  </si>
  <si>
    <t>URBAN DISTRIBUTION</t>
  </si>
  <si>
    <t>SUBURBAN DISTRIBUTION</t>
  </si>
  <si>
    <t>RURAL DISTRIBUTION</t>
  </si>
  <si>
    <t>COSTS PER TRIP</t>
  </si>
  <si>
    <t>Daily vehicle hours (dedicated vehicles)</t>
  </si>
  <si>
    <t>Number of dedicated vehicles (#)</t>
  </si>
  <si>
    <t>PROPORTION OF TRIPS CAPTURED BY ZONE TYPE</t>
  </si>
  <si>
    <t>Median wait time (mins)</t>
  </si>
  <si>
    <t>KPI PREDICTION COEFFICIENTS</t>
  </si>
  <si>
    <t>Max wait time (mins)</t>
  </si>
  <si>
    <t>Median wait time: Boardings coefficient</t>
  </si>
  <si>
    <t>Median wait time: Vehicle seconds coefficient</t>
  </si>
  <si>
    <t>Median wait time: Intercept</t>
  </si>
  <si>
    <t>Max wait time: Boardings coefficient</t>
  </si>
  <si>
    <t>Max wait time: Vehicle seconds coefficient</t>
  </si>
  <si>
    <t>Max wait time: Intercept</t>
  </si>
  <si>
    <t>Pooled trips ratio: Boardings coefficient</t>
  </si>
  <si>
    <t>Pooled trips ratio: Vehicle seconds coefficient</t>
  </si>
  <si>
    <t>Pooled trips ratio: Intercept</t>
  </si>
  <si>
    <t>Pooled trips ratio (%)</t>
  </si>
  <si>
    <t>Cost / Benefit Analysis (annual)</t>
  </si>
  <si>
    <t>Key Performance Indicators (KPIs) (daily)</t>
  </si>
  <si>
    <t>Total number of vehicle hours supplied to the service by dedicated vehicles.</t>
  </si>
  <si>
    <t>Total benefits minus total costs per year. Negative values represent a loss.</t>
  </si>
  <si>
    <t>Average efficiency (or 'productivity') of the service, measured in passengers per dedicated vehicle hour (PPVH).</t>
  </si>
  <si>
    <t>Total costs, minus fare revenue, divided by total trips.</t>
  </si>
  <si>
    <t>The median time a passenger must wait to be picked up once they have booked a trip.</t>
  </si>
  <si>
    <t>The maximum time a passenger must wait to be picked up once they have booked a trip.</t>
  </si>
  <si>
    <t>Percentage of trips where a passenger shared their trip with another passenger.</t>
  </si>
  <si>
    <t>Changes in operational costs of fixed-route mass transportation, following the introduction of on-demand service.</t>
  </si>
  <si>
    <t>FIXED-ROUTE MASS TRANSPORTATION</t>
  </si>
  <si>
    <t>Hourly operational cost of running 1 mass transit vehicle (€)</t>
  </si>
  <si>
    <t>Capital cost of 1 mass transit vehicle (€)</t>
  </si>
  <si>
    <t>Average trip fare (€)</t>
  </si>
  <si>
    <t>Monthly mass transit vehicle operations cost (€)</t>
  </si>
  <si>
    <t>Amortization of vehicle capital costs per year (€)</t>
  </si>
  <si>
    <t>Fare revenue per year - mass transit bus (€)</t>
  </si>
  <si>
    <t>Monthly dedicated vehicle operations cost (€)</t>
  </si>
  <si>
    <t>Monthly non-dedicated vehicle operations cost (€)</t>
  </si>
  <si>
    <t>Amortization of dedicated vehicle capital costs per year (€)</t>
  </si>
  <si>
    <t>Mass transit costs per year (€)</t>
  </si>
  <si>
    <t>Capital costs per year (€)</t>
  </si>
  <si>
    <t>Operational costs per year (€)</t>
  </si>
  <si>
    <t>Fare revenue benefits per year (€)</t>
  </si>
  <si>
    <t>Cost per trip - mass transit (€)</t>
  </si>
  <si>
    <t>Monthly cost of running DRT technology per vehicle (€)</t>
  </si>
  <si>
    <t>Hourly operational cost of running 1 dedicated vehicle (€)</t>
  </si>
  <si>
    <t>Capital cost of 1 dedicated vehicle (€)</t>
  </si>
  <si>
    <t>Fare revenue (€)</t>
  </si>
  <si>
    <t>Fixed-route transportation cost savings (€)</t>
  </si>
  <si>
    <t>Proportion of trips taken with dedicated vehicles (%)</t>
  </si>
  <si>
    <t>Parameter value</t>
  </si>
  <si>
    <t>Parameter description</t>
  </si>
  <si>
    <t>This demand prognostication tool was commissioned by the Stockholm Environment Institute from Spare Labs, Inc.</t>
  </si>
  <si>
    <t>The key functionality of the tool is threefold:</t>
  </si>
  <si>
    <t>2. Calculate the key performance indicators (KPIs) of a service designed to address that demand.</t>
  </si>
  <si>
    <t>3. Estimate basic financial, social and environmental return on investment (ROI) from the designed service.</t>
  </si>
  <si>
    <t>The tool consists of the following sheets:</t>
  </si>
  <si>
    <t>Introduction</t>
  </si>
  <si>
    <t>Dashboard</t>
  </si>
  <si>
    <t>Overview of the model and instructions for how to use it.</t>
  </si>
  <si>
    <t>Model_TripData</t>
  </si>
  <si>
    <t xml:space="preserve">OVERVIEW </t>
  </si>
  <si>
    <t>Model_TripDistanceDistributions</t>
  </si>
  <si>
    <t>Calculates key trip-based parameters to estimate demand.</t>
  </si>
  <si>
    <t>Model_TripTimeDistributions</t>
  </si>
  <si>
    <t>Calculates cumulative distributions of trip distances by zone type.</t>
  </si>
  <si>
    <t>Calculates cumulative distributions of trip times over a typical day.</t>
  </si>
  <si>
    <t>Model_KPIcoefficients</t>
  </si>
  <si>
    <t>Coefficients for the regression model predicting KPIs, trained on real data acquired by Spare.</t>
  </si>
  <si>
    <t>FIXED-ROUTE TRANSPORTATION: OPERATIONAL ASSUMPTIONS</t>
  </si>
  <si>
    <t>Proportion of  DRT trips that are induced (%)</t>
  </si>
  <si>
    <t>Description</t>
  </si>
  <si>
    <t>Legend for cell colours:</t>
  </si>
  <si>
    <t>Typical trip distance for all trips taken on all modes. This is used to adjust demand estimates depending on zone type.</t>
  </si>
  <si>
    <t>Typical trip proportions on a typical hourly basis, for all trips taken on all modes.</t>
  </si>
  <si>
    <t>TYPICAL DAY</t>
  </si>
  <si>
    <t>Cell containing model output, or values that must not be altered by the user.</t>
  </si>
  <si>
    <t>Inputs</t>
  </si>
  <si>
    <t>At-a-glance demand estimations, KPIs and ROI results.</t>
  </si>
  <si>
    <t>Main inputs for the model, which affect calculations and the results displayed in the Dashboard.</t>
  </si>
  <si>
    <t>https://www.marsdd.com/wp-content/uploads/2016/12/Microtransit-report-2016.pdf</t>
  </si>
  <si>
    <t>Total population residing in the area being considered for DRT.</t>
  </si>
  <si>
    <t>Cell requiring input from the user.</t>
  </si>
  <si>
    <t>Proportion of all trips taken using DRT, once a service is introduced. Adoption rate is affected by the availability of other transportation options, local attitudes to public transportation, and the marketing of the service.</t>
  </si>
  <si>
    <t xml:space="preserve">Total perimeter of the zone being considered for DRT. This is used as a proxy for zone size. </t>
  </si>
  <si>
    <t>-</t>
  </si>
  <si>
    <t>MODE SPLIT / MODE SHIFT: BEFORE DRT</t>
  </si>
  <si>
    <t>MODE SPLIT / MODE SHIFT: AFTER DRT</t>
  </si>
  <si>
    <t>Proportion of all trips taken using mass transit (bus), following the introduction of the DRT service.</t>
  </si>
  <si>
    <t>Proportion of all trips taken using mass transit (other), following the introduction of the DRT service.</t>
  </si>
  <si>
    <t>Proportion of all trips taken using a car, following the introduction of the DRT service.</t>
  </si>
  <si>
    <t>Proportion of all trips taken using a bicycle, following the introduction of the DRT service.</t>
  </si>
  <si>
    <t>Proportion of all trips taken by walking, following the introduction of the DRT service.</t>
  </si>
  <si>
    <t>Check to verify addition to 100%.</t>
  </si>
  <si>
    <t>https://sparelabs.com/en/blog/microtransit-reshapes-modal-split/</t>
  </si>
  <si>
    <t>Proportion of all trips that were induced by the DRT service (i.e. trips that would not have occurred without the existence of the service).</t>
  </si>
  <si>
    <t>Proportion of all trips taken using mass transit (bus), before the introduction of the DRT service.</t>
  </si>
  <si>
    <t>Proportion of all trips taken using mass transit (other), before the introduction of the DRT service.</t>
  </si>
  <si>
    <t>Proportion of all trips taken using a car, before the introduction of the DRT service.</t>
  </si>
  <si>
    <t>Proportion of all trips taken using a bicycle, before the introduction of the DRT service.</t>
  </si>
  <si>
    <t>Proportion of all trips taken by walking, before the introduction of the DRT service.</t>
  </si>
  <si>
    <t>Proportion of DRT trips taken on dedicated vehicles (i.e. vehicles owned and operated on an hourly basis, usually by the transportation authority).</t>
  </si>
  <si>
    <t>Does dedicated/non-dedicated split add up to 100?</t>
  </si>
  <si>
    <t>Cell containing logic verifying appropriate proportional summing.</t>
  </si>
  <si>
    <t>INSTRUCTIONS</t>
  </si>
  <si>
    <t>2. Ensure all the logic cells in the Inputs tab (TRUE/FALSE) are set to TRUE.</t>
  </si>
  <si>
    <t xml:space="preserve">1. Navigate to the Inputs sheet and input as many parameters as possible based on data relevant to your study area. </t>
  </si>
  <si>
    <t>VERSION AND CONTACT</t>
  </si>
  <si>
    <t>This tool was delivered to Stockholm Environment Institute in June 2021. Model data was correct at time of publication.</t>
  </si>
  <si>
    <t xml:space="preserve">https://www.sciencedirect.com/science/article/pii/S2352146516000600 </t>
  </si>
  <si>
    <t>Proportion of DRT trips taken on non-dedicated vehicles (i.e. vehicles charged to the authority on a per-trip basis, such as third-party taxis).</t>
  </si>
  <si>
    <t xml:space="preserve">https://www.researchgate.net/figure/Average-number-of-trips-per-person-by-gender-and-age_tbl1_268149817 </t>
  </si>
  <si>
    <t>Broad category describing the urban character of the zone being considered for DRT. Three set options: Urban, Suburban, Rural.</t>
  </si>
  <si>
    <t>Number of days the service will run per month. For example, weekday-only service would be 20 days a month.</t>
  </si>
  <si>
    <t>The tool is designed to estimate demand and service provision for on-demand/demand-responsive transportation (DRT) in a study area.</t>
  </si>
  <si>
    <t>The model underpinning the tool was trained using operational data collected by Spare Labs Inc.</t>
  </si>
  <si>
    <t>For additional information about model development, contact Spare Labs Inc at www.sparelabs.com.</t>
  </si>
  <si>
    <t>Start time of the DRT service, in 24-hour clock (minimum = 0, maximum = 23).</t>
  </si>
  <si>
    <t>End time of the DRT service, in 24-hour clock (minimum = 0, maximum = 23).</t>
  </si>
  <si>
    <t>Number of dedicated vehicles used to cater to the calculate demand. Model assumes that the number of driver shifts equates to the number of vehicles.</t>
  </si>
  <si>
    <t>Average driver shift length (hrs)</t>
  </si>
  <si>
    <t>Average length of a driver shift.</t>
  </si>
  <si>
    <t>Average ratio of VKTs to passenger kilometers (#)</t>
  </si>
  <si>
    <t xml:space="preserve">Average ratio of the total vehicle kilometres travelled (VKTs) to the passenger kilometres travelled. </t>
  </si>
  <si>
    <t>Average speed of a DRT vehicle across a typical service day, including pickups and dropoffs of shared trips.</t>
  </si>
  <si>
    <t>Average number of trips taken per person per day residing in the zone being considered for DRT, all modes combined.</t>
  </si>
  <si>
    <t>Average DRT vehicle speed (km/h)</t>
  </si>
  <si>
    <t>The monthly cost of running DRT technology on a per-vehicle basis. Costs vary from one company to the next.</t>
  </si>
  <si>
    <t>The hourly cost of running a single dedicated vehicle in the DRT service. This should include fuel, insurance and maintenance costs, as well as driver wages and back-office administrator wages.</t>
  </si>
  <si>
    <t>Average cost per km of using a non-dedicated vehicle (e.g. taxi) (€)</t>
  </si>
  <si>
    <t>The average cost of running a non-dedicated vehicle on a per-kilometre basis (i.e. typical taxi meter costs).</t>
  </si>
  <si>
    <t>Average efficiency of a fixed-route bus in the study area, measured in passengers per vehicl hour.</t>
  </si>
  <si>
    <t>The up-front capital investment required to purchased a dedicated vehicle for the DRT service.</t>
  </si>
  <si>
    <t>Average fare paid by a rider for a trip on the DRT service.</t>
  </si>
  <si>
    <t>Depreciation period, in years, of a dedicated vehicle's initial cost.</t>
  </si>
  <si>
    <t>Depreciation period of dedicated vehicle (years)</t>
  </si>
  <si>
    <t>The hourly cost of running a single mass transit vehicle (i.e. fixed-route bus). This should include fuel, insurance and maintenance costs, as well as driver wages and back-office administrator wages.</t>
  </si>
  <si>
    <t>The up-front capital investment required to purchased a vehicle in the mass transit service covering the study area.</t>
  </si>
  <si>
    <t>Total revenue from increased fares collected in the on-demand service.</t>
  </si>
  <si>
    <t>Total number of on-demand trips taken on all types of vehicles in the service.</t>
  </si>
  <si>
    <t>Total number of on-demand trips taken on dedicated vehicles only.</t>
  </si>
  <si>
    <t>Total number of on-demand trips taken on non-dedicated vehicles only (e.g. taxis).</t>
  </si>
  <si>
    <t>Cost per mass transit trip (€)</t>
  </si>
  <si>
    <t>Fare revenue per year from DRT service (€)</t>
  </si>
  <si>
    <t>DRT costs per year (€)</t>
  </si>
  <si>
    <t>Cost per trip - DRT (€)</t>
  </si>
  <si>
    <t>Average number of passenger trips carried by a single mass transit vehicle per day.</t>
  </si>
  <si>
    <t>ON-DEMAND TRANSPORTATION (DRT): SERVICE DESIGN</t>
  </si>
  <si>
    <t>ON-DEMAND TRANSPORTATION (DRT): OPERATIONAL ASSUMPTIONS</t>
  </si>
  <si>
    <t>ON-DEMAND TRANSPORTATION (DRT): COSTS</t>
  </si>
  <si>
    <t>DRT service days per month (#)</t>
  </si>
  <si>
    <t>Start hour of DRT service (hh)</t>
  </si>
  <si>
    <t>End hour of DRT service (hh)</t>
  </si>
  <si>
    <t>Adoption rate of DRT (% of all potential trips)</t>
  </si>
  <si>
    <t>Daily DRT trips (dedicated and non-dedicated)</t>
  </si>
  <si>
    <t>Daily DRT trips (dedicated only)</t>
  </si>
  <si>
    <t>Daily DRT trips (non-dedicated only)</t>
  </si>
  <si>
    <t>DRT service summary (daily)</t>
  </si>
  <si>
    <t>Cost per DRT trip (€)</t>
  </si>
  <si>
    <t>ON-DEMAND TRANSPORTATION (DRT)</t>
  </si>
  <si>
    <t>Monthly trips (excluding DRT) (#)</t>
  </si>
  <si>
    <t>Actual monthly DRT trips (#)</t>
  </si>
  <si>
    <t>Total theoretical monthly DRT trips (#)</t>
  </si>
  <si>
    <t>VKT by DRT per month (km)</t>
  </si>
  <si>
    <t>Before DRT</t>
  </si>
  <si>
    <t>After DRT</t>
  </si>
  <si>
    <t>Average distance of a trip taken on fixed-route mass transportation.</t>
  </si>
  <si>
    <t>Average fare paid by a rider for a trip on a fixed-route service.</t>
  </si>
  <si>
    <t>Depreciation period, in years, of a fixed-route vehicle's initial cost.</t>
  </si>
  <si>
    <t>FIXED-ROUTE TRANSPORTATION: COSTS</t>
  </si>
  <si>
    <t>GHG - Emissions per year (mass transit bus) (tonnes)</t>
  </si>
  <si>
    <t>GHG - Emissions per year (auto) (tonnes)</t>
  </si>
  <si>
    <t>GHG - Emissions savings per year - CO2 (tonnes)</t>
  </si>
  <si>
    <t>GHG - Emissions savings benefits per year - CO2 ($)</t>
  </si>
  <si>
    <t>Social cost of carbon - CO2 ($/tonne)</t>
  </si>
  <si>
    <t xml:space="preserve">Average cost to society of emitting a tonne of CO2. </t>
  </si>
  <si>
    <t xml:space="preserve">https://www.carbonbrief.org/qa-social-cost-carbon </t>
  </si>
  <si>
    <t>Model_CostBenefits</t>
  </si>
  <si>
    <t>Calculates the costs/benefits of the DRT service to the transportation authority and environment.</t>
  </si>
  <si>
    <t>1. Estimate the demand for DRT in a particular region, given basic demographic information.</t>
  </si>
  <si>
    <t>Emissions factor - CO2 (g/km)</t>
  </si>
  <si>
    <t>https://www.carbonindependent.org/20.html</t>
  </si>
  <si>
    <t>Average emissions factor for a DRT vehicle.</t>
  </si>
  <si>
    <t>Average emissions factor for a mass transit vehicle.</t>
  </si>
  <si>
    <t>GHG EMISSIONS</t>
  </si>
  <si>
    <t>GHG - Emissions per year (DRT) (tonnes)</t>
  </si>
  <si>
    <t>Medium</t>
  </si>
  <si>
    <t>VKT by autos per month (km)</t>
  </si>
  <si>
    <t>https://www.greencarreports.com/news/1071688_95-of-all-trips-could-be-made-in-electric-cars-says-study</t>
  </si>
  <si>
    <t>Average occupancy rate of a private vehicle (people/vehicle/km)</t>
  </si>
  <si>
    <t>https://www.fhwa.dot.gov/tpm/guidance/avo_factors.pdf</t>
  </si>
  <si>
    <t>https://youmatter.world/en/plane-or-cars-which-means-of-transport-pollutes-the-most/</t>
  </si>
  <si>
    <t>Average distance of a trip taken in a typical car trip.</t>
  </si>
  <si>
    <t>Average number of people sharing a vehicle in a private car trip.</t>
  </si>
  <si>
    <t>Average emissions factor for a private car.</t>
  </si>
  <si>
    <t>Check to verify addition of all the Mode Splits to 100%.</t>
  </si>
  <si>
    <t>SELECTED DISTRIBUTION</t>
  </si>
  <si>
    <t>Rural</t>
  </si>
  <si>
    <t>DRT service efficiency (PPVH) (#)</t>
  </si>
  <si>
    <t>Mass transit service efficiency (PPVH) (#)</t>
  </si>
  <si>
    <t>Average efficiency (or 'productivity') of mass transit, measured in passengers per dedicated vehicle hour (PPVH).</t>
  </si>
  <si>
    <t>Total benefits from GHG savings. Negative values represent a loss.</t>
  </si>
  <si>
    <t>Total of transit cost savings and revenue from fares.  Negative values represent a loss.</t>
  </si>
  <si>
    <t>Detail</t>
  </si>
  <si>
    <t>Net annual savings for environment (GHGs) (€)</t>
  </si>
  <si>
    <t>Return on Investment for agency (ROI)</t>
  </si>
  <si>
    <t>Return on Investment for environment (EROI)</t>
  </si>
  <si>
    <t>ROI / Costs Per Trip</t>
  </si>
  <si>
    <t>Parameter value source (if default value is provided)</t>
  </si>
  <si>
    <t>Total benefits to the environment, divided by the cost of investment annually. For every €1, what is the return?</t>
  </si>
  <si>
    <t>Total benefits to the agency, divided by the cost of investment annually. For every €1 , what is the return?</t>
  </si>
  <si>
    <t>Annual operational costs and amortized capital costs of running the on-demand service. Negative values represent a loss.</t>
  </si>
  <si>
    <t>Agency benefits (€)</t>
  </si>
  <si>
    <t>Agency costs (€)</t>
  </si>
  <si>
    <t>Agency net savings (€)</t>
  </si>
  <si>
    <t xml:space="preserve">Demand-Responsive Transportation (DRT): 
Demand Prognostication and Impact Tool
</t>
  </si>
  <si>
    <t>Default value (suggested)</t>
  </si>
  <si>
    <t>8–10</t>
  </si>
  <si>
    <t>4. Once the input data is as accurate as possible, navigate to the Dashboard sheet.</t>
  </si>
  <si>
    <t>5. The results and dashboard graphs are automatically calculated based on your inputs, and shown in the Dashboard sheet.</t>
  </si>
  <si>
    <t>6. If interested in scenario testing, navigate back to the Inputs sheet and change parameters accordingly.</t>
  </si>
  <si>
    <t>7. All sheets named 'Model_xxxx' contain model calculations. Do not alter the calculations in these sheets.</t>
  </si>
  <si>
    <t>3. Ensure all fields in "Parameter Value" (column B) of the Inputs tab are NOT EMPTY. Use suggested default values if needed.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</si>
</sst>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u/>
      <sz val="12"/>
      <color theme="10"/>
      <name val="Arial"/>
      <family val="2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2"/>
      <color theme="0"/>
      <name val="Arial"/>
      <family val="2"/>
    </font>
    <font>
      <b/>
      <sz val="16"/>
      <color theme="0"/>
      <name val="Arial"/>
      <family val="2"/>
    </font>
    <font>
      <u/>
      <sz val="9"/>
      <color theme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5137E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D29A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7" fillId="0" borderId="0" applyFont="0" applyFill="0" applyBorder="0" applyAlignment="0" applyProtection="0"/>
  </cellStyleXfs>
  <cellXfs count="134">
    <xf numFmtId="0" fontId="0" fillId="0" borderId="0" xfId="0"/>
    <xf numFmtId="0" fontId="2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1" fontId="2" fillId="0" borderId="0" xfId="0" applyNumberFormat="1" applyFont="1"/>
    <xf numFmtId="0" fontId="1" fillId="0" borderId="0" xfId="1" applyAlignment="1">
      <alignment shrinkToFit="1"/>
    </xf>
    <xf numFmtId="1" fontId="3" fillId="0" borderId="0" xfId="0" applyNumberFormat="1" applyFont="1"/>
    <xf numFmtId="1" fontId="4" fillId="0" borderId="0" xfId="0" applyNumberFormat="1" applyFont="1"/>
    <xf numFmtId="3" fontId="2" fillId="0" borderId="0" xfId="0" applyNumberFormat="1" applyFont="1"/>
    <xf numFmtId="1" fontId="0" fillId="0" borderId="0" xfId="0" applyNumberFormat="1"/>
    <xf numFmtId="0" fontId="6" fillId="0" borderId="0" xfId="1" applyFont="1"/>
    <xf numFmtId="0" fontId="2" fillId="0" borderId="0" xfId="0" applyFont="1" applyAlignment="1">
      <alignment horizontal="left"/>
    </xf>
    <xf numFmtId="3" fontId="2" fillId="0" borderId="0" xfId="0" applyNumberFormat="1" applyFont="1" applyFill="1"/>
    <xf numFmtId="0" fontId="3" fillId="0" borderId="0" xfId="0" applyFont="1" applyFill="1"/>
    <xf numFmtId="2" fontId="2" fillId="0" borderId="0" xfId="0" applyNumberFormat="1" applyFont="1" applyFill="1"/>
    <xf numFmtId="165" fontId="2" fillId="8" borderId="3" xfId="0" applyNumberFormat="1" applyFont="1" applyFill="1" applyBorder="1"/>
    <xf numFmtId="165" fontId="2" fillId="8" borderId="4" xfId="0" applyNumberFormat="1" applyFont="1" applyFill="1" applyBorder="1"/>
    <xf numFmtId="3" fontId="2" fillId="9" borderId="3" xfId="0" applyNumberFormat="1" applyFont="1" applyFill="1" applyBorder="1"/>
    <xf numFmtId="3" fontId="2" fillId="9" borderId="4" xfId="0" applyNumberFormat="1" applyFont="1" applyFill="1" applyBorder="1"/>
    <xf numFmtId="0" fontId="2" fillId="9" borderId="5" xfId="0" applyFont="1" applyFill="1" applyBorder="1"/>
    <xf numFmtId="0" fontId="2" fillId="9" borderId="6" xfId="0" applyFont="1" applyFill="1" applyBorder="1"/>
    <xf numFmtId="0" fontId="2" fillId="9" borderId="7" xfId="0" applyFont="1" applyFill="1" applyBorder="1"/>
    <xf numFmtId="0" fontId="2" fillId="8" borderId="5" xfId="0" applyFont="1" applyFill="1" applyBorder="1"/>
    <xf numFmtId="0" fontId="2" fillId="8" borderId="6" xfId="0" applyFont="1" applyFill="1" applyBorder="1"/>
    <xf numFmtId="4" fontId="2" fillId="8" borderId="7" xfId="0" applyNumberFormat="1" applyFont="1" applyFill="1" applyBorder="1"/>
    <xf numFmtId="0" fontId="3" fillId="4" borderId="0" xfId="0" applyFont="1" applyFill="1" applyBorder="1" applyAlignment="1">
      <alignment horizontal="center"/>
    </xf>
    <xf numFmtId="3" fontId="2" fillId="9" borderId="0" xfId="0" applyNumberFormat="1" applyFont="1" applyFill="1" applyBorder="1"/>
    <xf numFmtId="0" fontId="3" fillId="5" borderId="0" xfId="0" applyFont="1" applyFill="1" applyBorder="1" applyAlignment="1">
      <alignment horizontal="center"/>
    </xf>
    <xf numFmtId="165" fontId="2" fillId="8" borderId="0" xfId="0" applyNumberFormat="1" applyFont="1" applyFill="1" applyBorder="1"/>
    <xf numFmtId="0" fontId="2" fillId="6" borderId="0" xfId="0" applyFont="1" applyFill="1"/>
    <xf numFmtId="0" fontId="6" fillId="0" borderId="0" xfId="1" applyFont="1" applyFill="1" applyAlignment="1">
      <alignment shrinkToFit="1"/>
    </xf>
    <xf numFmtId="0" fontId="2" fillId="3" borderId="0" xfId="0" applyFont="1" applyFill="1"/>
    <xf numFmtId="0" fontId="3" fillId="3" borderId="0" xfId="0" applyFont="1" applyFill="1"/>
    <xf numFmtId="0" fontId="2" fillId="7" borderId="0" xfId="0" applyFont="1" applyFill="1"/>
    <xf numFmtId="0" fontId="4" fillId="0" borderId="0" xfId="0" applyFont="1" applyFill="1"/>
    <xf numFmtId="0" fontId="0" fillId="11" borderId="0" xfId="0" applyFill="1"/>
    <xf numFmtId="0" fontId="2" fillId="11" borderId="0" xfId="0" applyFont="1" applyFill="1"/>
    <xf numFmtId="0" fontId="2" fillId="2" borderId="0" xfId="0" applyFont="1" applyFill="1"/>
    <xf numFmtId="0" fontId="2" fillId="13" borderId="0" xfId="0" applyFont="1" applyFill="1"/>
    <xf numFmtId="0" fontId="2" fillId="14" borderId="0" xfId="0" applyFont="1" applyFill="1"/>
    <xf numFmtId="0" fontId="3" fillId="15" borderId="0" xfId="0" applyFont="1" applyFill="1"/>
    <xf numFmtId="0" fontId="3" fillId="3" borderId="0" xfId="0" applyFont="1" applyFill="1" applyAlignment="1"/>
    <xf numFmtId="0" fontId="2" fillId="2" borderId="12" xfId="0" applyFont="1" applyFill="1" applyBorder="1"/>
    <xf numFmtId="0" fontId="2" fillId="2" borderId="13" xfId="0" applyFont="1" applyFill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2" fillId="0" borderId="0" xfId="1" applyFont="1" applyAlignment="1">
      <alignment shrinkToFit="1"/>
    </xf>
    <xf numFmtId="0" fontId="4" fillId="0" borderId="0" xfId="0" applyFont="1" applyAlignment="1">
      <alignment wrapText="1"/>
    </xf>
    <xf numFmtId="0" fontId="2" fillId="0" borderId="11" xfId="0" applyFont="1" applyBorder="1" applyAlignment="1">
      <alignment vertical="center"/>
    </xf>
    <xf numFmtId="0" fontId="2" fillId="11" borderId="14" xfId="0" applyFont="1" applyFill="1" applyBorder="1"/>
    <xf numFmtId="0" fontId="2" fillId="11" borderId="0" xfId="0" applyFont="1" applyFill="1" applyBorder="1"/>
    <xf numFmtId="0" fontId="2" fillId="11" borderId="15" xfId="0" applyFont="1" applyFill="1" applyBorder="1"/>
    <xf numFmtId="0" fontId="2" fillId="11" borderId="16" xfId="0" applyFont="1" applyFill="1" applyBorder="1"/>
    <xf numFmtId="0" fontId="2" fillId="11" borderId="17" xfId="0" applyFont="1" applyFill="1" applyBorder="1"/>
    <xf numFmtId="0" fontId="2" fillId="11" borderId="18" xfId="0" applyFont="1" applyFill="1" applyBorder="1"/>
    <xf numFmtId="0" fontId="6" fillId="0" borderId="0" xfId="1" applyFont="1" applyFill="1" applyBorder="1"/>
    <xf numFmtId="0" fontId="6" fillId="11" borderId="0" xfId="1" applyFont="1" applyFill="1" applyBorder="1"/>
    <xf numFmtId="0" fontId="2" fillId="0" borderId="0" xfId="0" applyFont="1" applyFill="1" applyBorder="1"/>
    <xf numFmtId="0" fontId="3" fillId="3" borderId="0" xfId="0" applyFont="1" applyFill="1" applyAlignment="1">
      <alignment vertical="center"/>
    </xf>
    <xf numFmtId="164" fontId="3" fillId="3" borderId="0" xfId="2" applyFont="1" applyFill="1" applyAlignment="1">
      <alignment vertical="center" wrapText="1"/>
    </xf>
    <xf numFmtId="0" fontId="3" fillId="17" borderId="0" xfId="0" applyFont="1" applyFill="1" applyAlignment="1">
      <alignment horizontal="center" vertical="center" wrapText="1"/>
    </xf>
    <xf numFmtId="0" fontId="3" fillId="17" borderId="0" xfId="0" applyFont="1" applyFill="1" applyAlignment="1">
      <alignment horizontal="center"/>
    </xf>
    <xf numFmtId="0" fontId="3" fillId="3" borderId="0" xfId="0" applyFont="1" applyFill="1" applyAlignment="1">
      <alignment vertical="center" wrapText="1"/>
    </xf>
    <xf numFmtId="0" fontId="2" fillId="6" borderId="0" xfId="0" applyFont="1" applyFill="1" applyAlignment="1">
      <alignment vertical="center"/>
    </xf>
    <xf numFmtId="0" fontId="4" fillId="3" borderId="0" xfId="0" applyFont="1" applyFill="1"/>
    <xf numFmtId="1" fontId="2" fillId="3" borderId="0" xfId="0" applyNumberFormat="1" applyFont="1" applyFill="1"/>
    <xf numFmtId="1" fontId="3" fillId="3" borderId="0" xfId="0" applyNumberFormat="1" applyFont="1" applyFill="1"/>
    <xf numFmtId="1" fontId="4" fillId="3" borderId="0" xfId="0" applyNumberFormat="1" applyFont="1" applyFill="1"/>
    <xf numFmtId="0" fontId="2" fillId="6" borderId="12" xfId="0" applyFont="1" applyFill="1" applyBorder="1"/>
    <xf numFmtId="0" fontId="2" fillId="6" borderId="13" xfId="0" applyFont="1" applyFill="1" applyBorder="1"/>
    <xf numFmtId="164" fontId="3" fillId="3" borderId="0" xfId="2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164" fontId="3" fillId="17" borderId="0" xfId="2" applyFont="1" applyFill="1" applyAlignment="1">
      <alignment horizontal="right" vertical="center"/>
    </xf>
    <xf numFmtId="164" fontId="3" fillId="3" borderId="0" xfId="2" applyFont="1" applyFill="1" applyAlignment="1">
      <alignment horizontal="right" vertical="center"/>
    </xf>
    <xf numFmtId="164" fontId="2" fillId="0" borderId="0" xfId="2" applyFont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1" fontId="3" fillId="17" borderId="0" xfId="0" applyNumberFormat="1" applyFont="1" applyFill="1" applyAlignment="1">
      <alignment horizontal="center"/>
    </xf>
    <xf numFmtId="0" fontId="12" fillId="0" borderId="0" xfId="1" applyFont="1" applyAlignment="1">
      <alignment horizontal="left" vertical="center" wrapText="1" shrinkToFit="1"/>
    </xf>
    <xf numFmtId="164" fontId="8" fillId="3" borderId="0" xfId="2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12" fillId="0" borderId="0" xfId="1" applyFont="1" applyAlignment="1">
      <alignment vertical="center" wrapText="1" shrinkToFit="1"/>
    </xf>
    <xf numFmtId="0" fontId="2" fillId="6" borderId="0" xfId="0" applyFont="1" applyFill="1" applyAlignment="1">
      <alignment horizontal="right" vertical="center"/>
    </xf>
    <xf numFmtId="164" fontId="2" fillId="6" borderId="0" xfId="2" applyFont="1" applyFill="1" applyAlignment="1">
      <alignment horizontal="right" vertical="center"/>
    </xf>
    <xf numFmtId="0" fontId="2" fillId="6" borderId="0" xfId="0" applyFont="1" applyFill="1" applyAlignment="1">
      <alignment horizontal="right" vertical="center" wrapText="1"/>
    </xf>
    <xf numFmtId="1" fontId="2" fillId="2" borderId="0" xfId="0" applyNumberFormat="1" applyFont="1" applyFill="1"/>
    <xf numFmtId="2" fontId="2" fillId="2" borderId="0" xfId="0" applyNumberFormat="1" applyFont="1" applyFill="1"/>
    <xf numFmtId="4" fontId="2" fillId="2" borderId="0" xfId="0" applyNumberFormat="1" applyFont="1" applyFill="1"/>
    <xf numFmtId="1" fontId="4" fillId="2" borderId="0" xfId="0" applyNumberFormat="1" applyFont="1" applyFill="1"/>
    <xf numFmtId="3" fontId="2" fillId="2" borderId="0" xfId="0" applyNumberFormat="1" applyFont="1" applyFill="1"/>
    <xf numFmtId="0" fontId="4" fillId="2" borderId="0" xfId="0" applyFont="1" applyFill="1"/>
    <xf numFmtId="3" fontId="2" fillId="2" borderId="0" xfId="0" applyNumberFormat="1" applyFont="1" applyFill="1" applyBorder="1"/>
    <xf numFmtId="0" fontId="2" fillId="2" borderId="6" xfId="0" applyFont="1" applyFill="1" applyBorder="1"/>
    <xf numFmtId="0" fontId="3" fillId="1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vertical="center"/>
    </xf>
    <xf numFmtId="3" fontId="2" fillId="19" borderId="0" xfId="0" applyNumberFormat="1" applyFont="1" applyFill="1"/>
    <xf numFmtId="4" fontId="2" fillId="19" borderId="0" xfId="0" applyNumberFormat="1" applyFont="1" applyFill="1" applyBorder="1"/>
    <xf numFmtId="0" fontId="2" fillId="19" borderId="23" xfId="0" applyFont="1" applyFill="1" applyBorder="1" applyAlignment="1">
      <alignment horizontal="left" vertical="center"/>
    </xf>
    <xf numFmtId="4" fontId="2" fillId="19" borderId="22" xfId="0" applyNumberFormat="1" applyFont="1" applyFill="1" applyBorder="1"/>
    <xf numFmtId="0" fontId="2" fillId="19" borderId="6" xfId="0" applyFont="1" applyFill="1" applyBorder="1" applyAlignment="1">
      <alignment horizontal="left" vertical="center"/>
    </xf>
    <xf numFmtId="4" fontId="2" fillId="19" borderId="8" xfId="0" applyNumberFormat="1" applyFont="1" applyFill="1" applyBorder="1"/>
    <xf numFmtId="0" fontId="3" fillId="18" borderId="0" xfId="0" applyFont="1" applyFill="1" applyBorder="1" applyAlignment="1">
      <alignment horizontal="center"/>
    </xf>
    <xf numFmtId="0" fontId="2" fillId="19" borderId="6" xfId="0" applyFont="1" applyFill="1" applyBorder="1" applyAlignment="1">
      <alignment vertical="center"/>
    </xf>
    <xf numFmtId="0" fontId="2" fillId="19" borderId="7" xfId="0" applyFont="1" applyFill="1" applyBorder="1" applyAlignment="1">
      <alignment vertical="center"/>
    </xf>
    <xf numFmtId="4" fontId="2" fillId="19" borderId="24" xfId="0" applyNumberFormat="1" applyFont="1" applyFill="1" applyBorder="1"/>
    <xf numFmtId="3" fontId="2" fillId="2" borderId="3" xfId="0" applyNumberFormat="1" applyFont="1" applyFill="1" applyBorder="1"/>
    <xf numFmtId="3" fontId="3" fillId="2" borderId="3" xfId="0" applyNumberFormat="1" applyFont="1" applyFill="1" applyBorder="1"/>
    <xf numFmtId="3" fontId="2" fillId="2" borderId="4" xfId="0" applyNumberFormat="1" applyFont="1" applyFill="1" applyBorder="1"/>
    <xf numFmtId="0" fontId="2" fillId="2" borderId="23" xfId="0" applyFont="1" applyFill="1" applyBorder="1"/>
    <xf numFmtId="0" fontId="3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11" fillId="11" borderId="0" xfId="0" applyFont="1" applyFill="1" applyAlignment="1"/>
    <xf numFmtId="0" fontId="10" fillId="10" borderId="19" xfId="0" applyFont="1" applyFill="1" applyBorder="1" applyAlignment="1">
      <alignment horizontal="center"/>
    </xf>
    <xf numFmtId="0" fontId="10" fillId="10" borderId="20" xfId="0" applyFont="1" applyFill="1" applyBorder="1" applyAlignment="1">
      <alignment horizontal="center"/>
    </xf>
    <xf numFmtId="0" fontId="10" fillId="10" borderId="21" xfId="0" applyFont="1" applyFill="1" applyBorder="1" applyAlignment="1">
      <alignment horizontal="center"/>
    </xf>
    <xf numFmtId="0" fontId="11" fillId="16" borderId="0" xfId="0" applyFont="1" applyFill="1" applyAlignment="1">
      <alignment horizontal="center" wrapText="1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12" borderId="25" xfId="0" applyFont="1" applyFill="1" applyBorder="1" applyAlignment="1">
      <alignment horizontal="center"/>
    </xf>
    <xf numFmtId="0" fontId="3" fillId="12" borderId="26" xfId="0" applyFont="1" applyFill="1" applyBorder="1" applyAlignment="1">
      <alignment horizontal="center"/>
    </xf>
    <xf numFmtId="0" fontId="3" fillId="18" borderId="9" xfId="0" applyFont="1" applyFill="1" applyBorder="1" applyAlignment="1">
      <alignment horizontal="center"/>
    </xf>
    <xf numFmtId="0" fontId="3" fillId="18" borderId="10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</cellXfs>
  <cellStyles count="3">
    <cellStyle name="Comma" xfId="2" builtinId="3"/>
    <cellStyle name="Hyperlink" xfId="1" builtinId="8"/>
    <cellStyle name="Normal" xfId="0" builtinId="0"/>
  </cellStyles>
  <dxfs count="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F2978"/>
      <color rgb="FF00D29A"/>
      <color rgb="FF5137E0"/>
      <color rgb="FF6A49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Typical</a:t>
            </a:r>
            <a:r>
              <a:rPr lang="en-US" sz="1200" baseline="0"/>
              <a:t> distribution of trips over the day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Proportion of trips</c:v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Model_TripTimeDistributions!$A$3:$A$26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Model_TripTimeDistributions!$D$3:$D$26</c:f>
              <c:numCache>
                <c:formatCode>General</c:formatCode>
                <c:ptCount val="24"/>
                <c:pt idx="0">
                  <c:v>2</c:v>
                </c:pt>
                <c:pt idx="1">
                  <c:v>2</c:v>
                </c:pt>
                <c:pt idx="2">
                  <c:v>1.5</c:v>
                </c:pt>
                <c:pt idx="3">
                  <c:v>2</c:v>
                </c:pt>
                <c:pt idx="4">
                  <c:v>3.5</c:v>
                </c:pt>
                <c:pt idx="5">
                  <c:v>4.5</c:v>
                </c:pt>
                <c:pt idx="6">
                  <c:v>6</c:v>
                </c:pt>
                <c:pt idx="7">
                  <c:v>7.5</c:v>
                </c:pt>
                <c:pt idx="8">
                  <c:v>7</c:v>
                </c:pt>
                <c:pt idx="9">
                  <c:v>5.5</c:v>
                </c:pt>
                <c:pt idx="10">
                  <c:v>4.5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4.5</c:v>
                </c:pt>
                <c:pt idx="15">
                  <c:v>5.5</c:v>
                </c:pt>
                <c:pt idx="16">
                  <c:v>5.5</c:v>
                </c:pt>
                <c:pt idx="17">
                  <c:v>5.5</c:v>
                </c:pt>
                <c:pt idx="18">
                  <c:v>5</c:v>
                </c:pt>
                <c:pt idx="19">
                  <c:v>4.5</c:v>
                </c:pt>
                <c:pt idx="20">
                  <c:v>3.5</c:v>
                </c:pt>
                <c:pt idx="21">
                  <c:v>3</c:v>
                </c:pt>
                <c:pt idx="22">
                  <c:v>3</c:v>
                </c:pt>
                <c:pt idx="2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C0-F845-9331-CD966074C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2929600"/>
        <c:axId val="972628912"/>
      </c:barChart>
      <c:catAx>
        <c:axId val="972929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Hour</a:t>
                </a:r>
                <a:r>
                  <a:rPr lang="en-US" baseline="0"/>
                  <a:t> of day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72628912"/>
        <c:crosses val="autoZero"/>
        <c:auto val="1"/>
        <c:lblAlgn val="ctr"/>
        <c:lblOffset val="100"/>
        <c:noMultiLvlLbl val="1"/>
      </c:catAx>
      <c:valAx>
        <c:axId val="972628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72929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150"/>
              <a:t>Typical</a:t>
            </a:r>
            <a:r>
              <a:rPr lang="en-US" sz="1150" baseline="0"/>
              <a:t> distribution of subu</a:t>
            </a:r>
            <a:r>
              <a:rPr lang="en-US" sz="1150"/>
              <a:t>rban trip</a:t>
            </a:r>
            <a:r>
              <a:rPr lang="en-US" sz="1150" baseline="0"/>
              <a:t> distances</a:t>
            </a:r>
            <a:endParaRPr lang="en-US" sz="115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Proportion of trips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Model_TripDistanceDistributions!$E$3:$E$24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</c:numCache>
            </c:numRef>
          </c:cat>
          <c:val>
            <c:numRef>
              <c:f>Model_TripDistanceDistributions!$F$3:$F$24</c:f>
              <c:numCache>
                <c:formatCode>General</c:formatCode>
                <c:ptCount val="22"/>
                <c:pt idx="0">
                  <c:v>0</c:v>
                </c:pt>
                <c:pt idx="1">
                  <c:v>5</c:v>
                </c:pt>
                <c:pt idx="2">
                  <c:v>7</c:v>
                </c:pt>
                <c:pt idx="3">
                  <c:v>9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9</c:v>
                </c:pt>
                <c:pt idx="8">
                  <c:v>8</c:v>
                </c:pt>
                <c:pt idx="9">
                  <c:v>5</c:v>
                </c:pt>
                <c:pt idx="10">
                  <c:v>4</c:v>
                </c:pt>
                <c:pt idx="11">
                  <c:v>3</c:v>
                </c:pt>
                <c:pt idx="12">
                  <c:v>2.6</c:v>
                </c:pt>
                <c:pt idx="13">
                  <c:v>2</c:v>
                </c:pt>
                <c:pt idx="14">
                  <c:v>1.8</c:v>
                </c:pt>
                <c:pt idx="15">
                  <c:v>1.7</c:v>
                </c:pt>
                <c:pt idx="16">
                  <c:v>1.6</c:v>
                </c:pt>
                <c:pt idx="17">
                  <c:v>1.5</c:v>
                </c:pt>
                <c:pt idx="18">
                  <c:v>1.4</c:v>
                </c:pt>
                <c:pt idx="19">
                  <c:v>1.1000000000000001</c:v>
                </c:pt>
                <c:pt idx="20">
                  <c:v>1</c:v>
                </c:pt>
                <c:pt idx="21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FE-DF43-935A-AEACB6D16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2929600"/>
        <c:axId val="972628912"/>
      </c:barChart>
      <c:catAx>
        <c:axId val="972929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Trip</a:t>
                </a:r>
                <a:r>
                  <a:rPr lang="en-US" baseline="0"/>
                  <a:t> distance (km)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72628912"/>
        <c:crosses val="autoZero"/>
        <c:auto val="1"/>
        <c:lblAlgn val="ctr"/>
        <c:lblOffset val="100"/>
        <c:noMultiLvlLbl val="1"/>
      </c:catAx>
      <c:valAx>
        <c:axId val="972628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72929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150"/>
              <a:t>Typical</a:t>
            </a:r>
            <a:r>
              <a:rPr lang="en-US" sz="1150" baseline="0"/>
              <a:t> distribution of rural </a:t>
            </a:r>
            <a:r>
              <a:rPr lang="en-US" sz="1150"/>
              <a:t>trip</a:t>
            </a:r>
            <a:r>
              <a:rPr lang="en-US" sz="1150" baseline="0"/>
              <a:t> distances</a:t>
            </a:r>
            <a:endParaRPr lang="en-US" sz="115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Proportion of trips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Model_TripDistanceDistributions!$I$3:$I$24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</c:numCache>
            </c:numRef>
          </c:cat>
          <c:val>
            <c:numRef>
              <c:f>Model_TripDistanceDistributions!$J$3:$J$24</c:f>
              <c:numCache>
                <c:formatCode>General</c:formatCode>
                <c:ptCount val="2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10</c:v>
                </c:pt>
                <c:pt idx="7">
                  <c:v>9.5</c:v>
                </c:pt>
                <c:pt idx="8">
                  <c:v>8.1999999999999993</c:v>
                </c:pt>
                <c:pt idx="9">
                  <c:v>7.1</c:v>
                </c:pt>
                <c:pt idx="10">
                  <c:v>5.9</c:v>
                </c:pt>
                <c:pt idx="11">
                  <c:v>5</c:v>
                </c:pt>
                <c:pt idx="12">
                  <c:v>4.2</c:v>
                </c:pt>
                <c:pt idx="13">
                  <c:v>3.1</c:v>
                </c:pt>
                <c:pt idx="14">
                  <c:v>2.2000000000000002</c:v>
                </c:pt>
                <c:pt idx="15">
                  <c:v>2</c:v>
                </c:pt>
                <c:pt idx="16">
                  <c:v>1.8</c:v>
                </c:pt>
                <c:pt idx="17">
                  <c:v>1.7</c:v>
                </c:pt>
                <c:pt idx="18">
                  <c:v>1.6</c:v>
                </c:pt>
                <c:pt idx="19">
                  <c:v>1.5</c:v>
                </c:pt>
                <c:pt idx="20">
                  <c:v>1.4</c:v>
                </c:pt>
                <c:pt idx="21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C7-B94D-B206-A0D9394B6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2929600"/>
        <c:axId val="972628912"/>
      </c:barChart>
      <c:catAx>
        <c:axId val="972929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Trip</a:t>
                </a:r>
                <a:r>
                  <a:rPr lang="en-US" baseline="0"/>
                  <a:t> distance (km)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72628912"/>
        <c:crosses val="autoZero"/>
        <c:auto val="1"/>
        <c:lblAlgn val="ctr"/>
        <c:lblOffset val="100"/>
        <c:noMultiLvlLbl val="1"/>
      </c:catAx>
      <c:valAx>
        <c:axId val="972628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72929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Typical</a:t>
            </a:r>
            <a:r>
              <a:rPr lang="en-US" sz="1200" baseline="0"/>
              <a:t> distribution of trips over the day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Proportion of trips</c:v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Model_TripTimeDistributions!$A$3:$A$26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Model_TripTimeDistributions!$D$3:$D$26</c:f>
              <c:numCache>
                <c:formatCode>General</c:formatCode>
                <c:ptCount val="24"/>
                <c:pt idx="0">
                  <c:v>2</c:v>
                </c:pt>
                <c:pt idx="1">
                  <c:v>2</c:v>
                </c:pt>
                <c:pt idx="2">
                  <c:v>1.5</c:v>
                </c:pt>
                <c:pt idx="3">
                  <c:v>2</c:v>
                </c:pt>
                <c:pt idx="4">
                  <c:v>3.5</c:v>
                </c:pt>
                <c:pt idx="5">
                  <c:v>4.5</c:v>
                </c:pt>
                <c:pt idx="6">
                  <c:v>6</c:v>
                </c:pt>
                <c:pt idx="7">
                  <c:v>7.5</c:v>
                </c:pt>
                <c:pt idx="8">
                  <c:v>7</c:v>
                </c:pt>
                <c:pt idx="9">
                  <c:v>5.5</c:v>
                </c:pt>
                <c:pt idx="10">
                  <c:v>4.5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4.5</c:v>
                </c:pt>
                <c:pt idx="15">
                  <c:v>5.5</c:v>
                </c:pt>
                <c:pt idx="16">
                  <c:v>5.5</c:v>
                </c:pt>
                <c:pt idx="17">
                  <c:v>5.5</c:v>
                </c:pt>
                <c:pt idx="18">
                  <c:v>5</c:v>
                </c:pt>
                <c:pt idx="19">
                  <c:v>4.5</c:v>
                </c:pt>
                <c:pt idx="20">
                  <c:v>3.5</c:v>
                </c:pt>
                <c:pt idx="21">
                  <c:v>3</c:v>
                </c:pt>
                <c:pt idx="22">
                  <c:v>3</c:v>
                </c:pt>
                <c:pt idx="2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0-EB48-AEC4-427C23441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2929600"/>
        <c:axId val="972628912"/>
      </c:barChart>
      <c:catAx>
        <c:axId val="972929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Hour</a:t>
                </a:r>
                <a:r>
                  <a:rPr lang="en-US" baseline="0"/>
                  <a:t> of day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72628912"/>
        <c:crosses val="autoZero"/>
        <c:auto val="1"/>
        <c:lblAlgn val="ctr"/>
        <c:lblOffset val="100"/>
        <c:noMultiLvlLbl val="1"/>
      </c:catAx>
      <c:valAx>
        <c:axId val="972628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72929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Annual greenhouse</a:t>
            </a:r>
            <a:r>
              <a:rPr lang="en-US" sz="1200" baseline="0"/>
              <a:t> gas (GHG) emissions per mode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575065616797901"/>
          <c:y val="0.15017777777777777"/>
          <c:w val="0.74369378827646548"/>
          <c:h val="0.68991111111111114"/>
        </c:manualLayout>
      </c:layout>
      <c:barChart>
        <c:barDir val="col"/>
        <c:grouping val="stacked"/>
        <c:varyColors val="0"/>
        <c:ser>
          <c:idx val="2"/>
          <c:order val="0"/>
          <c:tx>
            <c:v>Auto</c:v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1C-FD4B-9B4A-98580CF71439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Model_CostBenefits!$B$26:$C$26</c:f>
              <c:strCache>
                <c:ptCount val="2"/>
                <c:pt idx="0">
                  <c:v>Before DRT</c:v>
                </c:pt>
                <c:pt idx="1">
                  <c:v>After DRT</c:v>
                </c:pt>
              </c:strCache>
            </c:strRef>
          </c:cat>
          <c:val>
            <c:numRef>
              <c:f>Model_CostBenefits!$B$29:$C$29</c:f>
              <c:numCache>
                <c:formatCode>General</c:formatCode>
                <c:ptCount val="2"/>
                <c:pt idx="0">
                  <c:v>88121.64705882351</c:v>
                </c:pt>
                <c:pt idx="1">
                  <c:v>88082.804995058832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1C-FD4B-9B4A-98580CF71439}"/>
            </c:ext>
          </c:extLst>
        </c:ser>
        <c:ser>
          <c:idx val="0"/>
          <c:order val="1"/>
          <c:tx>
            <c:v>Mass Transit</c:v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Model_CostBenefits!$B$26:$C$26</c:f>
              <c:strCache>
                <c:ptCount val="2"/>
                <c:pt idx="0">
                  <c:v>Before DRT</c:v>
                </c:pt>
                <c:pt idx="1">
                  <c:v>After DRT</c:v>
                </c:pt>
              </c:strCache>
            </c:strRef>
          </c:cat>
          <c:val>
            <c:numRef>
              <c:f>Model_CostBenefits!$B$27:$C$27</c:f>
              <c:numCache>
                <c:formatCode>General</c:formatCode>
                <c:ptCount val="2"/>
                <c:pt idx="0">
                  <c:v>23025.599999999991</c:v>
                </c:pt>
                <c:pt idx="1">
                  <c:v>23015.443151999996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1C-FD4B-9B4A-98580CF71439}"/>
            </c:ext>
          </c:extLst>
        </c:ser>
        <c:ser>
          <c:idx val="1"/>
          <c:order val="2"/>
          <c:tx>
            <c:v>DRT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Model_CostBenefits!$B$26:$C$26</c:f>
              <c:strCache>
                <c:ptCount val="2"/>
                <c:pt idx="0">
                  <c:v>Before DRT</c:v>
                </c:pt>
                <c:pt idx="1">
                  <c:v>After DRT</c:v>
                </c:pt>
              </c:strCache>
            </c:strRef>
          </c:cat>
          <c:val>
            <c:numRef>
              <c:f>Model_CostBenefits!$B$28:$C$28</c:f>
              <c:numCache>
                <c:formatCode>0</c:formatCode>
                <c:ptCount val="2"/>
                <c:pt idx="0" formatCode="General">
                  <c:v>0</c:v>
                </c:pt>
                <c:pt idx="1">
                  <c:v>267.786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1C-FD4B-9B4A-98580CF71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88"/>
        <c:axId val="1120153359"/>
        <c:axId val="1120155007"/>
      </c:barChart>
      <c:catAx>
        <c:axId val="1120153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20155007"/>
        <c:crosses val="autoZero"/>
        <c:auto val="1"/>
        <c:lblAlgn val="ctr"/>
        <c:lblOffset val="100"/>
        <c:noMultiLvlLbl val="0"/>
      </c:catAx>
      <c:valAx>
        <c:axId val="112015500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Annual</a:t>
                </a:r>
                <a:r>
                  <a:rPr lang="en-US" baseline="0"/>
                  <a:t> emissions (,000 tonnes CO2e)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5.6531058617672793E-3"/>
              <c:y val="9.351111111111111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20153359"/>
        <c:crosses val="autoZero"/>
        <c:crossBetween val="between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811526684164479"/>
          <c:y val="0.58806684164479439"/>
          <c:w val="0.20355139982502188"/>
          <c:h val="0.2273774278215223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Daily DRT trips by vehicle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55331395263904"/>
          <c:y val="0.15643518518518518"/>
          <c:w val="0.72231721034870644"/>
          <c:h val="0.74180555555555561"/>
        </c:manualLayout>
      </c:layout>
      <c:barChart>
        <c:barDir val="col"/>
        <c:grouping val="stacked"/>
        <c:varyColors val="0"/>
        <c:ser>
          <c:idx val="0"/>
          <c:order val="0"/>
          <c:tx>
            <c:v>Dedicated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Daily trips</c:v>
              </c:pt>
            </c:strLit>
          </c:cat>
          <c:val>
            <c:numRef>
              <c:f>Dashboard!$C$4</c:f>
              <c:numCache>
                <c:formatCode>#,##0</c:formatCode>
                <c:ptCount val="1"/>
                <c:pt idx="0">
                  <c:v>198.35999999999999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0-C941-A04C-2D62AC54A535}"/>
            </c:ext>
          </c:extLst>
        </c:ser>
        <c:ser>
          <c:idx val="1"/>
          <c:order val="1"/>
          <c:tx>
            <c:v>Non-dedicated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Daily trips</c:v>
              </c:pt>
            </c:strLit>
          </c:cat>
          <c:val>
            <c:numRef>
              <c:f>Dashboard!$C$5</c:f>
              <c:numCache>
                <c:formatCode>#,##0</c:formatCode>
                <c:ptCount val="1"/>
                <c:pt idx="0">
                  <c:v>49.589999999999996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B0-C941-A04C-2D62AC54A53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243207343"/>
        <c:axId val="1519159503"/>
      </c:barChart>
      <c:catAx>
        <c:axId val="1243207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19159503"/>
        <c:crosses val="autoZero"/>
        <c:auto val="1"/>
        <c:lblAlgn val="ctr"/>
        <c:lblOffset val="100"/>
        <c:noMultiLvlLbl val="0"/>
      </c:catAx>
      <c:valAx>
        <c:axId val="1519159503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43207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615809387462934"/>
          <c:y val="0.24280293088363955"/>
          <c:w val="0.30065989447528169"/>
          <c:h val="0.1607098996977650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Typical</a:t>
            </a:r>
            <a:r>
              <a:rPr lang="en-US" sz="1200" baseline="0"/>
              <a:t> distribution of </a:t>
            </a:r>
            <a:r>
              <a:rPr lang="en-US" sz="1200"/>
              <a:t>trip</a:t>
            </a:r>
            <a:r>
              <a:rPr lang="en-US" sz="1200" baseline="0"/>
              <a:t> distances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Proportion of trips</c:v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Model_TripDistanceDistributions!$P$3:$P$24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</c:numCache>
            </c:numRef>
          </c:cat>
          <c:val>
            <c:numRef>
              <c:f>Model_TripDistanceDistributions!$Q$3:$Q$24</c:f>
              <c:numCache>
                <c:formatCode>General</c:formatCode>
                <c:ptCount val="2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7</c:v>
                </c:pt>
                <c:pt idx="5">
                  <c:v>9</c:v>
                </c:pt>
                <c:pt idx="6">
                  <c:v>10</c:v>
                </c:pt>
                <c:pt idx="7">
                  <c:v>9.5</c:v>
                </c:pt>
                <c:pt idx="8">
                  <c:v>8.1999999999999993</c:v>
                </c:pt>
                <c:pt idx="9">
                  <c:v>7.1</c:v>
                </c:pt>
                <c:pt idx="10">
                  <c:v>5.9</c:v>
                </c:pt>
                <c:pt idx="11">
                  <c:v>5</c:v>
                </c:pt>
                <c:pt idx="12">
                  <c:v>4.2</c:v>
                </c:pt>
                <c:pt idx="13">
                  <c:v>3.1</c:v>
                </c:pt>
                <c:pt idx="14">
                  <c:v>2.2000000000000002</c:v>
                </c:pt>
                <c:pt idx="15">
                  <c:v>2</c:v>
                </c:pt>
                <c:pt idx="16">
                  <c:v>1.8</c:v>
                </c:pt>
                <c:pt idx="17">
                  <c:v>1.7</c:v>
                </c:pt>
                <c:pt idx="18">
                  <c:v>1.6</c:v>
                </c:pt>
                <c:pt idx="19">
                  <c:v>1.5</c:v>
                </c:pt>
                <c:pt idx="20">
                  <c:v>1.4</c:v>
                </c:pt>
                <c:pt idx="21">
                  <c:v>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B4-064B-8358-F8E3493A2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2929600"/>
        <c:axId val="972628912"/>
      </c:barChart>
      <c:catAx>
        <c:axId val="972929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Trip</a:t>
                </a:r>
                <a:r>
                  <a:rPr lang="en-US" baseline="0"/>
                  <a:t> distance (km)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72628912"/>
        <c:crosses val="autoZero"/>
        <c:auto val="1"/>
        <c:lblAlgn val="ctr"/>
        <c:lblOffset val="100"/>
        <c:noMultiLvlLbl val="1"/>
      </c:catAx>
      <c:valAx>
        <c:axId val="972628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72929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DRT</a:t>
            </a:r>
            <a:r>
              <a:rPr lang="en-US" sz="1200" baseline="0"/>
              <a:t> vs mass transit: Efficiency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55331395263904"/>
          <c:y val="0.15643518518518518"/>
          <c:w val="0.72231721034870644"/>
          <c:h val="0.74180555555555561"/>
        </c:manualLayout>
      </c:layout>
      <c:barChart>
        <c:barDir val="col"/>
        <c:grouping val="clustered"/>
        <c:varyColors val="0"/>
        <c:ser>
          <c:idx val="0"/>
          <c:order val="0"/>
          <c:tx>
            <c:v>DRT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Efficiency (pax per vehicle hour)</c:v>
              </c:pt>
            </c:strLit>
          </c:cat>
          <c:val>
            <c:numRef>
              <c:f>Dashboard!$C$23</c:f>
              <c:numCache>
                <c:formatCode>#\ ##0.0</c:formatCode>
                <c:ptCount val="1"/>
                <c:pt idx="0">
                  <c:v>9.9179999999999993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0-C941-A04C-2D62AC54A535}"/>
            </c:ext>
          </c:extLst>
        </c:ser>
        <c:ser>
          <c:idx val="1"/>
          <c:order val="1"/>
          <c:tx>
            <c:v>Mass Transit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5">
                          <a:lumMod val="50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2AB-1C45-911D-88AA009938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Efficiency (pax per vehicle hour)</c:v>
              </c:pt>
            </c:strLit>
          </c:cat>
          <c:val>
            <c:numRef>
              <c:f>Dashboard!$C$27</c:f>
              <c:numCache>
                <c:formatCode>#\ ##0.0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B0-C941-A04C-2D62AC54A53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1243207343"/>
        <c:axId val="1519159503"/>
      </c:barChart>
      <c:catAx>
        <c:axId val="1243207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19159503"/>
        <c:crosses val="autoZero"/>
        <c:auto val="1"/>
        <c:lblAlgn val="ctr"/>
        <c:lblOffset val="100"/>
        <c:noMultiLvlLbl val="0"/>
      </c:catAx>
      <c:valAx>
        <c:axId val="1519159503"/>
        <c:scaling>
          <c:orientation val="minMax"/>
          <c:min val="0"/>
        </c:scaling>
        <c:delete val="0"/>
        <c:axPos val="l"/>
        <c:numFmt formatCode="#\ ##0.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43207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697442040524152"/>
          <c:y val="0.24280300242843475"/>
          <c:w val="0.27190539494251531"/>
          <c:h val="0.162031034557573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DRT</a:t>
            </a:r>
            <a:r>
              <a:rPr lang="en-US" sz="1200" baseline="0"/>
              <a:t> vs mass transit: Cost per trip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55331395263904"/>
          <c:y val="0.15643518518518518"/>
          <c:w val="0.72231721034870644"/>
          <c:h val="0.74180555555555561"/>
        </c:manualLayout>
      </c:layout>
      <c:barChart>
        <c:barDir val="col"/>
        <c:grouping val="clustered"/>
        <c:varyColors val="0"/>
        <c:ser>
          <c:idx val="0"/>
          <c:order val="0"/>
          <c:tx>
            <c:v>DRT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Cost per trip (€)</c:v>
              </c:pt>
            </c:strLit>
          </c:cat>
          <c:val>
            <c:numRef>
              <c:f>Model_CostBenefits!$C$24</c:f>
              <c:numCache>
                <c:formatCode>General</c:formatCode>
                <c:ptCount val="1"/>
                <c:pt idx="0">
                  <c:v>5.0347247428917123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0-C941-A04C-2D62AC54A535}"/>
            </c:ext>
          </c:extLst>
        </c:ser>
        <c:ser>
          <c:idx val="1"/>
          <c:order val="1"/>
          <c:tx>
            <c:v>Mass Transit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5">
                          <a:lumMod val="50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2AB-1C45-911D-88AA0099387C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Cost per trip (€)</c:v>
              </c:pt>
            </c:strLit>
          </c:cat>
          <c:val>
            <c:numRef>
              <c:f>Model_CostBenefits!$C$23</c:f>
              <c:numCache>
                <c:formatCode>General</c:formatCode>
                <c:ptCount val="1"/>
                <c:pt idx="0">
                  <c:v>8.5037935993247391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B0-C941-A04C-2D62AC54A53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1243207343"/>
        <c:axId val="1519159503"/>
      </c:barChart>
      <c:catAx>
        <c:axId val="1243207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19159503"/>
        <c:crosses val="autoZero"/>
        <c:auto val="1"/>
        <c:lblAlgn val="ctr"/>
        <c:lblOffset val="100"/>
        <c:noMultiLvlLbl val="0"/>
      </c:catAx>
      <c:valAx>
        <c:axId val="1519159503"/>
        <c:scaling>
          <c:orientation val="minMax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43207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697442040524152"/>
          <c:y val="0.24280300242843475"/>
          <c:w val="0.27190539494251531"/>
          <c:h val="0.15937670174405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DRT:</a:t>
            </a:r>
            <a:r>
              <a:rPr lang="en-US" sz="1200" baseline="0"/>
              <a:t> Wait times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55331395263904"/>
          <c:y val="0.15643518518518518"/>
          <c:w val="0.72231721034870644"/>
          <c:h val="0.74180555555555561"/>
        </c:manualLayout>
      </c:layout>
      <c:barChart>
        <c:barDir val="col"/>
        <c:grouping val="clustered"/>
        <c:varyColors val="0"/>
        <c:ser>
          <c:idx val="0"/>
          <c:order val="0"/>
          <c:tx>
            <c:v>Median Wait</c:v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Wait times (mins)</c:v>
              </c:pt>
            </c:strLit>
          </c:cat>
          <c:val>
            <c:numRef>
              <c:f>Dashboard!$C$24</c:f>
              <c:numCache>
                <c:formatCode>#\ ##0.0</c:formatCode>
                <c:ptCount val="1"/>
                <c:pt idx="0">
                  <c:v>21.883272133333332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0-C941-A04C-2D62AC54A535}"/>
            </c:ext>
          </c:extLst>
        </c:ser>
        <c:ser>
          <c:idx val="1"/>
          <c:order val="1"/>
          <c:tx>
            <c:v>Max Wait</c:v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4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Wait times (mins)</c:v>
              </c:pt>
            </c:strLit>
          </c:cat>
          <c:val>
            <c:numRef>
              <c:f>Dashboard!$C$25</c:f>
              <c:numCache>
                <c:formatCode>#\ ##0.0</c:formatCode>
                <c:ptCount val="1"/>
                <c:pt idx="0">
                  <c:v>96.975347333333332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B0-C941-A04C-2D62AC54A53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1243207343"/>
        <c:axId val="1519159503"/>
      </c:barChart>
      <c:catAx>
        <c:axId val="1243207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19159503"/>
        <c:crosses val="autoZero"/>
        <c:auto val="1"/>
        <c:lblAlgn val="ctr"/>
        <c:lblOffset val="100"/>
        <c:noMultiLvlLbl val="0"/>
      </c:catAx>
      <c:valAx>
        <c:axId val="1519159503"/>
        <c:scaling>
          <c:orientation val="minMax"/>
          <c:min val="0"/>
        </c:scaling>
        <c:delete val="0"/>
        <c:axPos val="l"/>
        <c:numFmt formatCode="#\ ##0.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43207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697442040524152"/>
          <c:y val="0.24280300242843475"/>
          <c:w val="0.27190539494251531"/>
          <c:h val="0.15937670174405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Return</a:t>
            </a:r>
            <a:r>
              <a:rPr lang="en-US" sz="1200" baseline="0"/>
              <a:t> on Investment (ROI)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55331395263904"/>
          <c:y val="0.15643518518518518"/>
          <c:w val="0.72231721034870644"/>
          <c:h val="0.74180555555555561"/>
        </c:manualLayout>
      </c:layout>
      <c:barChart>
        <c:barDir val="col"/>
        <c:grouping val="stacked"/>
        <c:varyColors val="0"/>
        <c:ser>
          <c:idx val="0"/>
          <c:order val="0"/>
          <c:tx>
            <c:v>Agency ROI</c:v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ROI (return per €1 spent)</c:v>
              </c:pt>
            </c:strLit>
          </c:cat>
          <c:val>
            <c:numRef>
              <c:f>Dashboard!$C$53</c:f>
              <c:numCache>
                <c:formatCode>#,##0.00</c:formatCode>
                <c:ptCount val="1"/>
                <c:pt idx="0">
                  <c:v>0.39593332775873297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0-C941-A04C-2D62AC54A535}"/>
            </c:ext>
          </c:extLst>
        </c:ser>
        <c:ser>
          <c:idx val="1"/>
          <c:order val="1"/>
          <c:tx>
            <c:v>EROI</c:v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4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"/>
              <c:pt idx="0">
                <c:v>ROI (return per €1 spent)</c:v>
              </c:pt>
            </c:strLit>
          </c:cat>
          <c:val>
            <c:numRef>
              <c:f>Dashboard!$C$54</c:f>
              <c:numCache>
                <c:formatCode>#,##0.00</c:formatCode>
                <c:ptCount val="1"/>
                <c:pt idx="0">
                  <c:v>6.0982548216219554E-2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B0-C941-A04C-2D62AC54A53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243207343"/>
        <c:axId val="1519159503"/>
      </c:barChart>
      <c:catAx>
        <c:axId val="12432073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19159503"/>
        <c:crosses val="autoZero"/>
        <c:auto val="1"/>
        <c:lblAlgn val="ctr"/>
        <c:lblOffset val="100"/>
        <c:noMultiLvlLbl val="0"/>
      </c:catAx>
      <c:valAx>
        <c:axId val="1519159503"/>
        <c:scaling>
          <c:orientation val="minMax"/>
          <c:min val="0"/>
        </c:scaling>
        <c:delete val="0"/>
        <c:axPos val="l"/>
        <c:numFmt formatCode="#,##0.0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43207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536248415049868"/>
          <c:y val="0.24280293088363955"/>
          <c:w val="0.31182035499378291"/>
          <c:h val="0.143127249967901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/>
              <a:t>Typical</a:t>
            </a:r>
            <a:r>
              <a:rPr lang="en-US" sz="1200" baseline="0"/>
              <a:t> distribution of u</a:t>
            </a:r>
            <a:r>
              <a:rPr lang="en-US" sz="1200"/>
              <a:t>rban trip</a:t>
            </a:r>
            <a:r>
              <a:rPr lang="en-US" sz="1200" baseline="0"/>
              <a:t> distances</a:t>
            </a:r>
            <a:endParaRPr lang="en-US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Proportion of trips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Model_TripDistanceDistributions!$A$3:$A$24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</c:numCache>
            </c:numRef>
          </c:cat>
          <c:val>
            <c:numRef>
              <c:f>Model_TripDistanceDistributions!$B$3:$B$24</c:f>
              <c:numCache>
                <c:formatCode>General</c:formatCode>
                <c:ptCount val="22"/>
                <c:pt idx="0">
                  <c:v>0</c:v>
                </c:pt>
                <c:pt idx="1">
                  <c:v>11</c:v>
                </c:pt>
                <c:pt idx="2">
                  <c:v>15</c:v>
                </c:pt>
                <c:pt idx="3">
                  <c:v>14</c:v>
                </c:pt>
                <c:pt idx="4">
                  <c:v>11</c:v>
                </c:pt>
                <c:pt idx="5">
                  <c:v>8</c:v>
                </c:pt>
                <c:pt idx="6">
                  <c:v>5.8</c:v>
                </c:pt>
                <c:pt idx="7">
                  <c:v>4.4000000000000004</c:v>
                </c:pt>
                <c:pt idx="8">
                  <c:v>3.6</c:v>
                </c:pt>
                <c:pt idx="9">
                  <c:v>3.2</c:v>
                </c:pt>
                <c:pt idx="10">
                  <c:v>2.9</c:v>
                </c:pt>
                <c:pt idx="11">
                  <c:v>2.5</c:v>
                </c:pt>
                <c:pt idx="12">
                  <c:v>2.2000000000000002</c:v>
                </c:pt>
                <c:pt idx="13">
                  <c:v>2</c:v>
                </c:pt>
                <c:pt idx="14">
                  <c:v>1.8</c:v>
                </c:pt>
                <c:pt idx="15">
                  <c:v>1.6</c:v>
                </c:pt>
                <c:pt idx="16">
                  <c:v>1.4</c:v>
                </c:pt>
                <c:pt idx="17">
                  <c:v>1.3</c:v>
                </c:pt>
                <c:pt idx="18">
                  <c:v>1.2</c:v>
                </c:pt>
                <c:pt idx="19">
                  <c:v>1.1000000000000001</c:v>
                </c:pt>
                <c:pt idx="20">
                  <c:v>1</c:v>
                </c:pt>
                <c:pt idx="2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68-2440-87AC-224FF17F3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2929600"/>
        <c:axId val="972628912"/>
      </c:barChart>
      <c:catAx>
        <c:axId val="972929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Trip</a:t>
                </a:r>
                <a:r>
                  <a:rPr lang="en-US" baseline="0"/>
                  <a:t> distance (km)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72628912"/>
        <c:crosses val="autoZero"/>
        <c:auto val="1"/>
        <c:lblAlgn val="ctr"/>
        <c:lblOffset val="100"/>
        <c:noMultiLvlLbl val="1"/>
      </c:catAx>
      <c:valAx>
        <c:axId val="972628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72929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_xlchart.v5.0</cx:f>
      </cx:strDim>
      <cx:numDim type="val">
        <cx:f>_xlchart.v5.1</cx:f>
      </cx:numDim>
    </cx:data>
  </cx:chartData>
  <cx:chart>
    <cx:title pos="t" align="ctr" overlay="0">
      <cx:tx>
        <cx:txData>
          <cx:v>Cost, benefits and net savings for agency (annual)</cx:v>
        </cx:txData>
      </cx:tx>
      <cx:txPr>
        <a:bodyPr vertOverflow="overflow" horzOverflow="overflow" wrap="square" lIns="0" tIns="0" rIns="0" bIns="0"/>
        <a:lstStyle/>
        <a:p>
          <a:pPr algn="ctr" rtl="0">
            <a:defRPr sz="1400" b="0" i="0">
              <a:solidFill>
                <a:srgbClr val="595959"/>
              </a:solidFill>
              <a:latin typeface="Arial" panose="020B0604020202020204" pitchFamily="34" charset="0"/>
              <a:ea typeface="Arial" panose="020B0604020202020204" pitchFamily="34" charset="0"/>
              <a:cs typeface="Arial" panose="020B0604020202020204" pitchFamily="34" charset="0"/>
            </a:defRPr>
          </a:pP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Cost, benefits and net savings for agency (annual)</a:t>
          </a:r>
        </a:p>
      </cx:txPr>
    </cx:title>
    <cx:plotArea>
      <cx:plotAreaRegion>
        <cx:plotSurface>
          <cx:spPr>
            <a:noFill/>
            <a:ln>
              <a:noFill/>
            </a:ln>
          </cx:spPr>
        </cx:plotSurface>
        <cx:series layoutId="waterfall" uniqueId="{03702000-B19F-B143-86E4-B3623CD4CB52}">
          <cx:spPr>
            <a:ln w="31750"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cx:spPr>
          <cx:dataPt idx="0">
            <cx:spPr>
              <a:solidFill>
                <a:srgbClr val="00D29A"/>
              </a:solidFill>
              <a:ln>
                <a:noFill/>
              </a:ln>
            </cx:spPr>
          </cx:dataPt>
          <cx:dataPt idx="1">
            <cx:spPr>
              <a:solidFill>
                <a:srgbClr val="EF2978"/>
              </a:solidFill>
              <a:ln>
                <a:noFill/>
              </a:ln>
            </cx:spPr>
          </cx:dataPt>
          <cx:dataPt idx="2">
            <cx:spPr>
              <a:solidFill>
                <a:sysClr val="windowText" lastClr="000000">
                  <a:lumMod val="50000"/>
                  <a:lumOff val="50000"/>
                </a:sysClr>
              </a:solidFill>
              <a:ln>
                <a:noFill/>
              </a:ln>
            </cx:spPr>
          </cx:dataPt>
          <cx:dataLabels pos="ctr"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>
                    <a:solidFill>
                      <a:schemeClr val="bg1"/>
                    </a:solidFill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 sz="900" b="0" i="0" u="none" strike="noStrike" baseline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x:txPr>
            <cx:visibility seriesName="0" categoryName="0" value="1"/>
          </cx:dataLabels>
          <cx:dataId val="0"/>
          <cx:layoutPr>
            <cx:subtotals>
              <cx:idx val="2"/>
            </cx:subtotals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>
        <cx:valScaling/>
        <cx:tickLabels/>
        <cx:numFmt formatCode="#,##0" sourceLinked="0"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en-US"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</cx:chart>
  <cx:spPr>
    <a:ln>
      <a:noFill/>
    </a:ln>
  </cx:spPr>
  <cx:fmtOvrs>
    <cx:fmtOvr idx="2">
      <cx:spPr>
        <a:solidFill>
          <a:schemeClr val="tx1">
            <a:lumMod val="50000"/>
            <a:lumOff val="50000"/>
          </a:schemeClr>
        </a:solidFill>
      </cx:spPr>
    </cx:fmtOvr>
    <cx:fmtOvr idx="1">
      <cx:spPr>
        <a:solidFill>
          <a:srgbClr val="EF2978"/>
        </a:solidFill>
      </cx:spPr>
    </cx:fmtOvr>
    <cx:fmtOvr idx="0">
      <cx:spPr>
        <a:solidFill>
          <a:srgbClr val="00D29A"/>
        </a:solidFill>
      </cx:spPr>
    </cx:fmtOvr>
  </cx:fmtOvr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microsoft.com/office/2014/relationships/chartEx" Target="../charts/chartEx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414851</xdr:colOff>
      <xdr:row>1</xdr:row>
      <xdr:rowOff>25400</xdr:rowOff>
    </xdr:from>
    <xdr:to>
      <xdr:col>9</xdr:col>
      <xdr:colOff>460695</xdr:colOff>
      <xdr:row>6</xdr:row>
      <xdr:rowOff>101600</xdr:rowOff>
    </xdr:to>
    <xdr:pic>
      <xdr:nvPicPr>
        <xdr:cNvPr id="2" name="Picture 1" descr="Stockholm Environment Institute - Wikipedia">
          <a:extLst>
            <a:ext uri="{FF2B5EF4-FFF2-40B4-BE49-F238E27FC236}">
              <a16:creationId xmlns:a16="http://schemas.microsoft.com/office/drawing/2014/main" id="{B4618D48-3087-1944-B128-23E69E100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2441" y="224316"/>
          <a:ext cx="872109" cy="1070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115779</xdr:colOff>
      <xdr:row>1</xdr:row>
      <xdr:rowOff>20320</xdr:rowOff>
    </xdr:from>
    <xdr:to>
      <xdr:col>8</xdr:col>
      <xdr:colOff>315901</xdr:colOff>
      <xdr:row>6</xdr:row>
      <xdr:rowOff>30480</xdr:rowOff>
    </xdr:to>
    <xdr:pic>
      <xdr:nvPicPr>
        <xdr:cNvPr id="3" name="Picture 2" descr="Working at Spare Labs | Glassdoor">
          <a:extLst>
            <a:ext uri="{FF2B5EF4-FFF2-40B4-BE49-F238E27FC236}">
              <a16:creationId xmlns:a16="http://schemas.microsoft.com/office/drawing/2014/main" id="{598B4496-F4D0-7844-93D8-AE4776546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7104" y="219236"/>
          <a:ext cx="1026387" cy="10047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550845</xdr:colOff>
      <xdr:row>3</xdr:row>
      <xdr:rowOff>52981</xdr:rowOff>
    </xdr:from>
    <xdr:to>
      <xdr:col>13</xdr:col>
      <xdr:colOff>336626</xdr:colOff>
      <xdr:row>6</xdr:row>
      <xdr:rowOff>153014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1A3A643-DB11-644B-B8FB-C0A489BA5B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5926" b="3041"/>
        <a:stretch/>
      </xdr:blipFill>
      <xdr:spPr>
        <a:xfrm>
          <a:off x="7604700" y="649728"/>
          <a:ext cx="3090842" cy="696780"/>
        </a:xfrm>
        <a:prstGeom prst="rect">
          <a:avLst/>
        </a:prstGeom>
      </xdr:spPr>
    </xdr:pic>
    <xdr:clientData/>
  </xdr:twoCellAnchor>
  <xdr:twoCellAnchor editAs="oneCell">
    <xdr:from>
      <xdr:col>9</xdr:col>
      <xdr:colOff>566145</xdr:colOff>
      <xdr:row>0</xdr:row>
      <xdr:rowOff>164895</xdr:rowOff>
    </xdr:from>
    <xdr:to>
      <xdr:col>11</xdr:col>
      <xdr:colOff>612048</xdr:colOff>
      <xdr:row>3</xdr:row>
      <xdr:rowOff>89187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CB9DE2D-F931-D441-A260-049FFDE4CB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65926" b="29833"/>
        <a:stretch/>
      </xdr:blipFill>
      <xdr:spPr>
        <a:xfrm>
          <a:off x="7620000" y="164895"/>
          <a:ext cx="1698434" cy="5210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520700</xdr:colOff>
      <xdr:row>6</xdr:row>
      <xdr:rowOff>152400</xdr:rowOff>
    </xdr:from>
    <xdr:to>
      <xdr:col>3</xdr:col>
      <xdr:colOff>4394200</xdr:colOff>
      <xdr:row>20</xdr:row>
      <xdr:rowOff>101600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157958F-B74C-B643-A71B-973786A5AF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398011</xdr:colOff>
      <xdr:row>28</xdr:row>
      <xdr:rowOff>70956</xdr:rowOff>
    </xdr:from>
    <xdr:to>
      <xdr:col>3</xdr:col>
      <xdr:colOff>4970011</xdr:colOff>
      <xdr:row>42</xdr:row>
      <xdr:rowOff>50683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9E0AEDA-D959-FE4E-AB6A-B0EE36019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806450</xdr:colOff>
      <xdr:row>6</xdr:row>
      <xdr:rowOff>114300</xdr:rowOff>
    </xdr:from>
    <xdr:to>
      <xdr:col>1</xdr:col>
      <xdr:colOff>3403600</xdr:colOff>
      <xdr:row>20</xdr:row>
      <xdr:rowOff>12700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D0F3A32-2ADB-8F49-B181-51E1C18C14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3492500</xdr:colOff>
      <xdr:row>6</xdr:row>
      <xdr:rowOff>177800</xdr:rowOff>
    </xdr:from>
    <xdr:to>
      <xdr:col>3</xdr:col>
      <xdr:colOff>279400</xdr:colOff>
      <xdr:row>20</xdr:row>
      <xdr:rowOff>114300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903D2C00-B986-454E-943B-80D9AF2A5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44450</xdr:colOff>
      <xdr:row>28</xdr:row>
      <xdr:rowOff>25400</xdr:rowOff>
    </xdr:from>
    <xdr:to>
      <xdr:col>1</xdr:col>
      <xdr:colOff>3467100</xdr:colOff>
      <xdr:row>41</xdr:row>
      <xdr:rowOff>101600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CF2EAFF-4C78-AD4B-BD07-7BE57E2A17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1284323</xdr:colOff>
      <xdr:row>57</xdr:row>
      <xdr:rowOff>38100</xdr:rowOff>
    </xdr:from>
    <xdr:to>
      <xdr:col>3</xdr:col>
      <xdr:colOff>4706395</xdr:colOff>
      <xdr:row>70</xdr:row>
      <xdr:rowOff>114300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73CC5253-27FC-414F-B152-98E88AEAE8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3663950</xdr:colOff>
      <xdr:row>28</xdr:row>
      <xdr:rowOff>25400</xdr:rowOff>
    </xdr:from>
    <xdr:to>
      <xdr:col>3</xdr:col>
      <xdr:colOff>0</xdr:colOff>
      <xdr:row>41</xdr:row>
      <xdr:rowOff>101600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4E6AEDB8-98C6-2D44-9632-5FECFC7BAA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1140166</xdr:colOff>
      <xdr:row>57</xdr:row>
      <xdr:rowOff>11652</xdr:rowOff>
    </xdr:from>
    <xdr:to>
      <xdr:col>3</xdr:col>
      <xdr:colOff>1326717</xdr:colOff>
      <xdr:row>70</xdr:row>
      <xdr:rowOff>108125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E661ECAF-0676-5448-AED4-40FBF56D51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815810</xdr:colOff>
      <xdr:row>57</xdr:row>
      <xdr:rowOff>57078</xdr:rowOff>
    </xdr:from>
    <xdr:to>
      <xdr:col>2</xdr:col>
      <xdr:colOff>827641</xdr:colOff>
      <xdr:row>70</xdr:row>
      <xdr:rowOff>99888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18" name="Chart 17">
              <a:extLst>
                <a:ext uri="{FF2B5EF4-FFF2-40B4-BE49-F238E27FC236}">
                  <a16:creationId xmlns:a16="http://schemas.microsoft.com/office/drawing/2014/main" id="{3A4CCDC7-3EEC-7647-B575-13BFB10BD05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9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15810" y="11341028"/>
              <a:ext cx="4685431" cy="260186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12700</xdr:rowOff>
    </xdr:from>
    <xdr:to>
      <xdr:col>4</xdr:col>
      <xdr:colOff>165100</xdr:colOff>
      <xdr:row>41</xdr:row>
      <xdr:rowOff>152400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78A5549-3482-DF45-84F7-3470E2617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266700</xdr:colOff>
      <xdr:row>28</xdr:row>
      <xdr:rowOff>0</xdr:rowOff>
    </xdr:from>
    <xdr:to>
      <xdr:col>8</xdr:col>
      <xdr:colOff>431800</xdr:colOff>
      <xdr:row>41</xdr:row>
      <xdr:rowOff>190500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381B8D5-2CC4-AD44-AA2D-ADD54D9CB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546100</xdr:colOff>
      <xdr:row>27</xdr:row>
      <xdr:rowOff>177800</xdr:rowOff>
    </xdr:from>
    <xdr:to>
      <xdr:col>12</xdr:col>
      <xdr:colOff>431800</xdr:colOff>
      <xdr:row>41</xdr:row>
      <xdr:rowOff>127000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E45C6085-4254-DC42-A1ED-6E1A0ABB0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139700</xdr:colOff>
      <xdr:row>6</xdr:row>
      <xdr:rowOff>76200</xdr:rowOff>
    </xdr:from>
    <xdr:to>
      <xdr:col>9</xdr:col>
      <xdr:colOff>368300</xdr:colOff>
      <xdr:row>20</xdr:row>
      <xdr:rowOff>25400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40B7C50-AB27-0046-8ABD-24A4B1E60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reencarreports.com/news/1071688_95-of-all-trips-could-be-made-in-electric-cars-says-study" TargetMode="External"/><Relationship Id="rId3" Type="http://schemas.openxmlformats.org/officeDocument/2006/relationships/hyperlink" Target="https://www.marsdd.com/wp-content/uploads/2016/12/Microtransit-report-2016.pdf" TargetMode="External"/><Relationship Id="rId7" Type="http://schemas.openxmlformats.org/officeDocument/2006/relationships/hyperlink" Target="https://www.carbonbrief.org/qa-social-cost-carbon" TargetMode="External"/><Relationship Id="rId2" Type="http://schemas.openxmlformats.org/officeDocument/2006/relationships/hyperlink" Target="https://www.translink.ca/-/media/Documents/plans_and_projects/managing_the_transit_network/bus_speed_reliability/2019_Bus_Speed_and_Reliability_Report.pdf?la=en&amp;hash=78C00AA8DF9DB5E10E1BF25CF7C7B5B1F05B9B47" TargetMode="External"/><Relationship Id="rId1" Type="http://schemas.openxmlformats.org/officeDocument/2006/relationships/hyperlink" Target="https://www.apta.com/wp-content/uploads/APTA_Fact-Book-2019_FINAL.pdf" TargetMode="External"/><Relationship Id="rId6" Type="http://schemas.openxmlformats.org/officeDocument/2006/relationships/hyperlink" Target="https://www.marsdd.com/wp-content/uploads/2016/12/Microtransit-report-2016.pdf" TargetMode="External"/><Relationship Id="rId5" Type="http://schemas.openxmlformats.org/officeDocument/2006/relationships/hyperlink" Target="https://www.sciencedirect.com/science/article/pii/S2352146516000600" TargetMode="External"/><Relationship Id="rId10" Type="http://schemas.openxmlformats.org/officeDocument/2006/relationships/hyperlink" Target="https://youmatter.world/en/plane-or-cars-which-means-of-transport-pollutes-the-most/" TargetMode="External"/><Relationship Id="rId4" Type="http://schemas.openxmlformats.org/officeDocument/2006/relationships/hyperlink" Target="https://sparelabs.com/en/blog/microtransit-reshapes-modal-split/" TargetMode="External"/><Relationship Id="rId9" Type="http://schemas.openxmlformats.org/officeDocument/2006/relationships/hyperlink" Target="https://www.fhwa.dot.gov/tpm/guidance/avo_factors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C2F3D-A0A0-5A4D-A173-265168EC5E99}">
  <sheetPr>
    <tabColor theme="5" tint="0.59999389629810485"/>
  </sheetPr>
  <dimension ref="A1:BY436"/>
  <sheetViews>
    <sheetView showGridLines="0" tabSelected="1" zoomScale="83" workbookViewId="0">
      <selection activeCell="B2" sqref="B2:G6"/>
    </sheetView>
  </sheetViews>
  <sheetFormatPr defaultColWidth="10.6640625" defaultRowHeight="15.5" x14ac:dyDescent="0.35"/>
  <cols>
    <col min="1" max="1" width="5.83203125" style="2" customWidth="1"/>
    <col min="2" max="2" width="10.83203125" style="2"/>
    <col min="3" max="3" width="10.83203125" style="2" customWidth="1"/>
    <col min="4" max="15" width="10.83203125" style="2"/>
  </cols>
  <sheetData>
    <row r="1" spans="1:77" x14ac:dyDescent="0.3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</row>
    <row r="2" spans="1:77" ht="16" customHeight="1" x14ac:dyDescent="0.4">
      <c r="A2" s="37"/>
      <c r="B2" s="124" t="s">
        <v>274</v>
      </c>
      <c r="C2" s="124"/>
      <c r="D2" s="124"/>
      <c r="E2" s="124"/>
      <c r="F2" s="124"/>
      <c r="G2" s="124"/>
      <c r="H2" s="120"/>
      <c r="I2" s="120"/>
      <c r="J2" s="120"/>
      <c r="K2" s="120"/>
      <c r="L2" s="37"/>
      <c r="M2" s="37"/>
      <c r="N2" s="37"/>
      <c r="O2" s="37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</row>
    <row r="3" spans="1:77" ht="16" customHeight="1" x14ac:dyDescent="0.4">
      <c r="A3" s="37"/>
      <c r="B3" s="124"/>
      <c r="C3" s="124"/>
      <c r="D3" s="124"/>
      <c r="E3" s="124"/>
      <c r="F3" s="124"/>
      <c r="G3" s="124"/>
      <c r="H3" s="120"/>
      <c r="I3" s="120"/>
      <c r="J3" s="120"/>
      <c r="K3" s="120"/>
      <c r="L3" s="37"/>
      <c r="M3" s="37"/>
      <c r="N3" s="37"/>
      <c r="O3" s="37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</row>
    <row r="4" spans="1:77" ht="16" customHeight="1" x14ac:dyDescent="0.4">
      <c r="A4" s="37"/>
      <c r="B4" s="124"/>
      <c r="C4" s="124"/>
      <c r="D4" s="124"/>
      <c r="E4" s="124"/>
      <c r="F4" s="124"/>
      <c r="G4" s="124"/>
      <c r="H4" s="120"/>
      <c r="I4" s="120"/>
      <c r="J4" s="120"/>
      <c r="K4" s="120"/>
      <c r="L4" s="37"/>
      <c r="M4" s="37"/>
      <c r="N4" s="37"/>
      <c r="O4" s="37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</row>
    <row r="5" spans="1:77" ht="16" customHeight="1" x14ac:dyDescent="0.4">
      <c r="A5" s="37"/>
      <c r="B5" s="124"/>
      <c r="C5" s="124"/>
      <c r="D5" s="124"/>
      <c r="E5" s="124"/>
      <c r="F5" s="124"/>
      <c r="G5" s="124"/>
      <c r="H5" s="120"/>
      <c r="I5" s="120"/>
      <c r="J5" s="120"/>
      <c r="K5" s="120"/>
      <c r="L5" s="37"/>
      <c r="M5" s="37"/>
      <c r="N5" s="37"/>
      <c r="O5" s="37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</row>
    <row r="6" spans="1:77" ht="16" customHeight="1" x14ac:dyDescent="0.4">
      <c r="A6" s="37"/>
      <c r="B6" s="124"/>
      <c r="C6" s="124"/>
      <c r="D6" s="124"/>
      <c r="E6" s="124"/>
      <c r="F6" s="124"/>
      <c r="G6" s="124"/>
      <c r="H6" s="120"/>
      <c r="I6" s="120"/>
      <c r="J6" s="120"/>
      <c r="K6" s="120"/>
      <c r="L6" s="37"/>
      <c r="M6" s="37"/>
      <c r="N6" s="37"/>
      <c r="O6" s="37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</row>
    <row r="7" spans="1:77" x14ac:dyDescent="0.3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</row>
    <row r="8" spans="1:77" x14ac:dyDescent="0.35">
      <c r="A8" s="37"/>
      <c r="B8" s="37" t="s">
        <v>111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</row>
    <row r="9" spans="1:77" x14ac:dyDescent="0.35">
      <c r="A9" s="37"/>
      <c r="B9" s="37" t="s">
        <v>173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</row>
    <row r="10" spans="1:77" x14ac:dyDescent="0.35">
      <c r="A10" s="37"/>
      <c r="B10" s="37" t="s">
        <v>174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</row>
    <row r="11" spans="1:77" x14ac:dyDescent="0.3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</row>
    <row r="12" spans="1:77" ht="16" thickBot="1" x14ac:dyDescent="0.4">
      <c r="A12" s="37"/>
      <c r="B12" s="121" t="s">
        <v>120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3"/>
      <c r="O12" s="37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</row>
    <row r="13" spans="1:77" x14ac:dyDescent="0.35">
      <c r="A13" s="37"/>
      <c r="B13" s="56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8"/>
      <c r="O13" s="37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</row>
    <row r="14" spans="1:77" x14ac:dyDescent="0.35">
      <c r="A14" s="37"/>
      <c r="B14" s="56" t="s">
        <v>112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8"/>
      <c r="O14" s="37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</row>
    <row r="15" spans="1:77" x14ac:dyDescent="0.35">
      <c r="A15" s="37"/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8"/>
      <c r="O15" s="37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</row>
    <row r="16" spans="1:77" x14ac:dyDescent="0.35">
      <c r="A16" s="37"/>
      <c r="B16" s="56"/>
      <c r="C16" s="57" t="s">
        <v>238</v>
      </c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8"/>
      <c r="O16" s="37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</row>
    <row r="17" spans="1:77" x14ac:dyDescent="0.35">
      <c r="A17" s="37"/>
      <c r="B17" s="56"/>
      <c r="C17" s="57" t="s">
        <v>113</v>
      </c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8"/>
      <c r="O17" s="37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</row>
    <row r="18" spans="1:77" x14ac:dyDescent="0.35">
      <c r="A18" s="37"/>
      <c r="B18" s="56"/>
      <c r="C18" s="57" t="s">
        <v>114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8"/>
      <c r="O18" s="37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</row>
    <row r="19" spans="1:77" x14ac:dyDescent="0.35">
      <c r="A19" s="37"/>
      <c r="B19" s="56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8"/>
      <c r="O19" s="37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</row>
    <row r="20" spans="1:77" x14ac:dyDescent="0.35">
      <c r="A20" s="37"/>
      <c r="B20" s="56" t="s">
        <v>115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8"/>
      <c r="O20" s="37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</row>
    <row r="21" spans="1:77" x14ac:dyDescent="0.35">
      <c r="A21" s="37"/>
      <c r="B21" s="56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8"/>
      <c r="O21" s="37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</row>
    <row r="22" spans="1:77" x14ac:dyDescent="0.35">
      <c r="A22" s="37"/>
      <c r="B22" s="56"/>
      <c r="C22" s="62" t="s">
        <v>116</v>
      </c>
      <c r="D22" s="57"/>
      <c r="E22" s="57"/>
      <c r="F22" s="57" t="s">
        <v>118</v>
      </c>
      <c r="G22" s="57"/>
      <c r="H22" s="57"/>
      <c r="I22" s="57"/>
      <c r="J22" s="57"/>
      <c r="K22" s="57"/>
      <c r="L22" s="57"/>
      <c r="M22" s="57"/>
      <c r="N22" s="58"/>
      <c r="O22" s="37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</row>
    <row r="23" spans="1:77" x14ac:dyDescent="0.35">
      <c r="A23" s="37"/>
      <c r="B23" s="56"/>
      <c r="C23" s="63" t="s">
        <v>136</v>
      </c>
      <c r="D23" s="57"/>
      <c r="E23" s="57"/>
      <c r="F23" s="57" t="s">
        <v>138</v>
      </c>
      <c r="G23" s="57"/>
      <c r="H23" s="57"/>
      <c r="I23" s="57"/>
      <c r="J23" s="57"/>
      <c r="K23" s="57"/>
      <c r="L23" s="57"/>
      <c r="M23" s="57"/>
      <c r="N23" s="58"/>
      <c r="O23" s="37"/>
      <c r="P23" s="36"/>
      <c r="Q23" s="36"/>
      <c r="R23" s="36"/>
      <c r="S23" s="36"/>
      <c r="T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</row>
    <row r="24" spans="1:77" x14ac:dyDescent="0.35">
      <c r="A24" s="37"/>
      <c r="B24" s="56"/>
      <c r="C24" s="63" t="s">
        <v>117</v>
      </c>
      <c r="D24" s="57"/>
      <c r="E24" s="57"/>
      <c r="F24" s="57" t="s">
        <v>137</v>
      </c>
      <c r="G24" s="57"/>
      <c r="H24" s="57"/>
      <c r="I24" s="57"/>
      <c r="J24" s="57"/>
      <c r="K24" s="57"/>
      <c r="L24" s="57"/>
      <c r="M24" s="57"/>
      <c r="N24" s="58"/>
      <c r="O24" s="37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</row>
    <row r="25" spans="1:77" x14ac:dyDescent="0.35">
      <c r="A25" s="37"/>
      <c r="B25" s="56"/>
      <c r="C25" s="63" t="s">
        <v>119</v>
      </c>
      <c r="D25" s="57"/>
      <c r="E25" s="57"/>
      <c r="F25" s="57" t="s">
        <v>122</v>
      </c>
      <c r="G25" s="57"/>
      <c r="H25" s="57"/>
      <c r="I25" s="57"/>
      <c r="J25" s="57"/>
      <c r="K25" s="57"/>
      <c r="L25" s="57"/>
      <c r="M25" s="57"/>
      <c r="N25" s="58"/>
      <c r="O25" s="37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</row>
    <row r="26" spans="1:77" x14ac:dyDescent="0.35">
      <c r="A26" s="37"/>
      <c r="B26" s="56"/>
      <c r="C26" s="63" t="s">
        <v>236</v>
      </c>
      <c r="D26" s="57"/>
      <c r="E26" s="57"/>
      <c r="F26" s="57" t="s">
        <v>237</v>
      </c>
      <c r="G26" s="57"/>
      <c r="H26" s="57"/>
      <c r="I26" s="57"/>
      <c r="J26" s="57"/>
      <c r="K26" s="57"/>
      <c r="L26" s="57"/>
      <c r="M26" s="57"/>
      <c r="N26" s="58"/>
      <c r="O26" s="37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</row>
    <row r="27" spans="1:77" x14ac:dyDescent="0.35">
      <c r="A27" s="37"/>
      <c r="B27" s="56"/>
      <c r="C27" s="63" t="s">
        <v>121</v>
      </c>
      <c r="D27" s="57"/>
      <c r="E27" s="57"/>
      <c r="F27" s="57" t="s">
        <v>124</v>
      </c>
      <c r="G27" s="57"/>
      <c r="H27" s="57"/>
      <c r="I27" s="57"/>
      <c r="J27" s="57"/>
      <c r="K27" s="57"/>
      <c r="L27" s="57"/>
      <c r="M27" s="57"/>
      <c r="N27" s="58"/>
      <c r="O27" s="37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</row>
    <row r="28" spans="1:77" x14ac:dyDescent="0.35">
      <c r="A28" s="37"/>
      <c r="B28" s="56"/>
      <c r="C28" s="63" t="s">
        <v>123</v>
      </c>
      <c r="D28" s="57"/>
      <c r="E28" s="57"/>
      <c r="F28" s="57" t="s">
        <v>125</v>
      </c>
      <c r="G28" s="57"/>
      <c r="H28" s="57"/>
      <c r="I28" s="57"/>
      <c r="J28" s="57"/>
      <c r="K28" s="57"/>
      <c r="L28" s="57"/>
      <c r="M28" s="57"/>
      <c r="N28" s="58"/>
      <c r="O28" s="37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</row>
    <row r="29" spans="1:77" x14ac:dyDescent="0.35">
      <c r="A29" s="37"/>
      <c r="B29" s="56"/>
      <c r="C29" s="63" t="s">
        <v>126</v>
      </c>
      <c r="D29" s="57"/>
      <c r="E29" s="57"/>
      <c r="F29" s="57" t="s">
        <v>127</v>
      </c>
      <c r="G29" s="57"/>
      <c r="H29" s="57"/>
      <c r="I29" s="57"/>
      <c r="J29" s="57"/>
      <c r="K29" s="57"/>
      <c r="L29" s="57"/>
      <c r="M29" s="57"/>
      <c r="N29" s="58"/>
      <c r="O29" s="37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</row>
    <row r="30" spans="1:77" x14ac:dyDescent="0.35">
      <c r="A30" s="37"/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8"/>
      <c r="O30" s="37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</row>
    <row r="31" spans="1:77" x14ac:dyDescent="0.35">
      <c r="A31" s="37"/>
      <c r="B31" s="56" t="s">
        <v>131</v>
      </c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8"/>
      <c r="O31" s="37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</row>
    <row r="32" spans="1:77" x14ac:dyDescent="0.35">
      <c r="A32" s="37"/>
      <c r="B32" s="56"/>
      <c r="C32" s="64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8"/>
      <c r="O32" s="37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</row>
    <row r="33" spans="1:77" x14ac:dyDescent="0.35">
      <c r="A33" s="37"/>
      <c r="B33" s="56"/>
      <c r="C33" s="75"/>
      <c r="D33" s="76"/>
      <c r="E33" s="57"/>
      <c r="F33" s="57" t="s">
        <v>141</v>
      </c>
      <c r="G33" s="57"/>
      <c r="H33" s="57"/>
      <c r="I33" s="57"/>
      <c r="J33" s="57"/>
      <c r="K33" s="57"/>
      <c r="L33" s="57"/>
      <c r="M33" s="57"/>
      <c r="N33" s="58"/>
      <c r="O33" s="37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</row>
    <row r="34" spans="1:77" x14ac:dyDescent="0.35">
      <c r="A34" s="37"/>
      <c r="B34" s="56"/>
      <c r="C34" s="43"/>
      <c r="D34" s="44"/>
      <c r="E34" s="57"/>
      <c r="F34" s="57" t="s">
        <v>135</v>
      </c>
      <c r="G34" s="57"/>
      <c r="H34" s="57"/>
      <c r="I34" s="57"/>
      <c r="J34" s="57"/>
      <c r="K34" s="57"/>
      <c r="L34" s="57"/>
      <c r="M34" s="57"/>
      <c r="N34" s="58"/>
      <c r="O34" s="37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</row>
    <row r="35" spans="1:77" x14ac:dyDescent="0.35">
      <c r="A35" s="37"/>
      <c r="B35" s="56"/>
      <c r="C35" s="55" t="b">
        <f>TRUE</f>
        <v>1</v>
      </c>
      <c r="D35" s="55" t="b">
        <f>FALSE</f>
        <v>0</v>
      </c>
      <c r="E35" s="57"/>
      <c r="F35" s="57" t="s">
        <v>162</v>
      </c>
      <c r="G35" s="57"/>
      <c r="H35" s="57"/>
      <c r="I35" s="57"/>
      <c r="J35" s="57"/>
      <c r="K35" s="57"/>
      <c r="L35" s="57"/>
      <c r="M35" s="57"/>
      <c r="N35" s="58"/>
      <c r="O35" s="37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</row>
    <row r="36" spans="1:77" x14ac:dyDescent="0.35">
      <c r="A36" s="37"/>
      <c r="B36" s="56"/>
      <c r="C36" s="37"/>
      <c r="D36" s="37"/>
      <c r="E36" s="37"/>
      <c r="G36" s="57"/>
      <c r="H36" s="57"/>
      <c r="I36" s="57"/>
      <c r="J36" s="57"/>
      <c r="K36" s="57"/>
      <c r="L36" s="57"/>
      <c r="M36" s="57"/>
      <c r="N36" s="58"/>
      <c r="O36" s="37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</row>
    <row r="37" spans="1:77" x14ac:dyDescent="0.35">
      <c r="A37" s="37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1"/>
      <c r="O37" s="37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</row>
    <row r="38" spans="1:77" x14ac:dyDescent="0.35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</row>
    <row r="39" spans="1:77" ht="16" thickBot="1" x14ac:dyDescent="0.4">
      <c r="A39" s="37"/>
      <c r="B39" s="121" t="s">
        <v>163</v>
      </c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3"/>
      <c r="O39" s="37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</row>
    <row r="40" spans="1:77" x14ac:dyDescent="0.35">
      <c r="A40" s="37"/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8"/>
      <c r="O40" s="37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</row>
    <row r="41" spans="1:77" x14ac:dyDescent="0.35">
      <c r="A41" s="37"/>
      <c r="B41" s="56"/>
      <c r="C41" s="57" t="s">
        <v>165</v>
      </c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8"/>
      <c r="O41" s="37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</row>
    <row r="42" spans="1:77" x14ac:dyDescent="0.35">
      <c r="A42" s="37"/>
      <c r="B42" s="56"/>
      <c r="C42" s="57" t="s">
        <v>164</v>
      </c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8"/>
      <c r="O42" s="37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</row>
    <row r="43" spans="1:77" x14ac:dyDescent="0.35">
      <c r="A43" s="37"/>
      <c r="B43" s="56"/>
      <c r="C43" s="57" t="s">
        <v>281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8"/>
      <c r="O43" s="37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</row>
    <row r="44" spans="1:77" x14ac:dyDescent="0.35">
      <c r="A44" s="37"/>
      <c r="B44" s="56"/>
      <c r="C44" s="57" t="s">
        <v>277</v>
      </c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8"/>
      <c r="O44" s="37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</row>
    <row r="45" spans="1:77" x14ac:dyDescent="0.35">
      <c r="A45" s="37"/>
      <c r="B45" s="56"/>
      <c r="C45" s="57" t="s">
        <v>278</v>
      </c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8"/>
      <c r="O45" s="37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</row>
    <row r="46" spans="1:77" x14ac:dyDescent="0.35">
      <c r="A46" s="37"/>
      <c r="B46" s="56"/>
      <c r="C46" s="57" t="s">
        <v>279</v>
      </c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8"/>
      <c r="O46" s="37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</row>
    <row r="47" spans="1:77" x14ac:dyDescent="0.35">
      <c r="A47" s="37"/>
      <c r="B47" s="56"/>
      <c r="C47" s="57" t="s">
        <v>280</v>
      </c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8"/>
      <c r="O47" s="37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</row>
    <row r="48" spans="1:77" x14ac:dyDescent="0.35">
      <c r="A48" s="37"/>
      <c r="B48" s="59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1"/>
      <c r="O48" s="37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</row>
    <row r="49" spans="1:77" x14ac:dyDescent="0.35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</row>
    <row r="50" spans="1:77" ht="16" thickBot="1" x14ac:dyDescent="0.4">
      <c r="A50" s="37"/>
      <c r="B50" s="121" t="s">
        <v>166</v>
      </c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3"/>
      <c r="O50" s="37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</row>
    <row r="51" spans="1:77" x14ac:dyDescent="0.35">
      <c r="A51" s="37"/>
      <c r="B51" s="56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8"/>
      <c r="O51" s="37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</row>
    <row r="52" spans="1:77" x14ac:dyDescent="0.35">
      <c r="A52" s="37"/>
      <c r="B52" s="56"/>
      <c r="C52" s="57" t="s">
        <v>167</v>
      </c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8"/>
      <c r="O52" s="37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</row>
    <row r="53" spans="1:77" x14ac:dyDescent="0.35">
      <c r="A53" s="37"/>
      <c r="B53" s="56"/>
      <c r="C53" s="57" t="s">
        <v>175</v>
      </c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8"/>
      <c r="O53" s="37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</row>
    <row r="54" spans="1:77" x14ac:dyDescent="0.35">
      <c r="A54" s="37"/>
      <c r="B54" s="59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1"/>
      <c r="O54" s="37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</row>
    <row r="55" spans="1:77" x14ac:dyDescent="0.3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</row>
    <row r="56" spans="1:77" x14ac:dyDescent="0.35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</row>
    <row r="57" spans="1:77" x14ac:dyDescent="0.3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</row>
    <row r="58" spans="1:77" x14ac:dyDescent="0.3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</row>
    <row r="59" spans="1:77" x14ac:dyDescent="0.35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</row>
    <row r="60" spans="1:77" x14ac:dyDescent="0.35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</row>
    <row r="61" spans="1:77" x14ac:dyDescent="0.3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</row>
    <row r="62" spans="1:77" x14ac:dyDescent="0.35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</row>
    <row r="63" spans="1:77" x14ac:dyDescent="0.35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</row>
    <row r="64" spans="1:77" x14ac:dyDescent="0.35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</row>
    <row r="65" spans="1:77" x14ac:dyDescent="0.3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</row>
    <row r="66" spans="1:77" x14ac:dyDescent="0.3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</row>
    <row r="67" spans="1:77" x14ac:dyDescent="0.35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</row>
    <row r="68" spans="1:77" x14ac:dyDescent="0.35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</row>
    <row r="69" spans="1:77" x14ac:dyDescent="0.3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</row>
    <row r="70" spans="1:77" x14ac:dyDescent="0.3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</row>
    <row r="71" spans="1:77" x14ac:dyDescent="0.35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</row>
    <row r="72" spans="1:77" x14ac:dyDescent="0.35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</row>
    <row r="73" spans="1:77" x14ac:dyDescent="0.35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</row>
    <row r="74" spans="1:77" x14ac:dyDescent="0.35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</row>
    <row r="75" spans="1:77" x14ac:dyDescent="0.3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</row>
    <row r="76" spans="1:77" x14ac:dyDescent="0.3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</row>
    <row r="77" spans="1:77" x14ac:dyDescent="0.3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</row>
    <row r="78" spans="1:77" x14ac:dyDescent="0.3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</row>
    <row r="79" spans="1:77" x14ac:dyDescent="0.3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</row>
    <row r="80" spans="1:77" x14ac:dyDescent="0.35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</row>
    <row r="81" spans="1:77" x14ac:dyDescent="0.35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</row>
    <row r="82" spans="1:77" x14ac:dyDescent="0.3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</row>
    <row r="83" spans="1:77" x14ac:dyDescent="0.35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</row>
    <row r="84" spans="1:77" x14ac:dyDescent="0.3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</row>
    <row r="85" spans="1:77" x14ac:dyDescent="0.3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</row>
    <row r="86" spans="1:77" x14ac:dyDescent="0.3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</row>
    <row r="87" spans="1:77" x14ac:dyDescent="0.3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</row>
    <row r="88" spans="1:77" x14ac:dyDescent="0.35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</row>
    <row r="89" spans="1:77" x14ac:dyDescent="0.35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</row>
    <row r="90" spans="1:77" x14ac:dyDescent="0.35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</row>
    <row r="91" spans="1:77" x14ac:dyDescent="0.35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</row>
    <row r="92" spans="1:77" x14ac:dyDescent="0.35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</row>
    <row r="93" spans="1:77" x14ac:dyDescent="0.35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</row>
    <row r="94" spans="1:77" x14ac:dyDescent="0.35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</row>
    <row r="95" spans="1:77" x14ac:dyDescent="0.35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</row>
    <row r="96" spans="1:77" x14ac:dyDescent="0.3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</row>
    <row r="97" spans="1:77" x14ac:dyDescent="0.35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</row>
    <row r="98" spans="1:77" x14ac:dyDescent="0.35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</row>
    <row r="99" spans="1:77" x14ac:dyDescent="0.35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</row>
    <row r="100" spans="1:77" x14ac:dyDescent="0.35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</row>
    <row r="101" spans="1:77" x14ac:dyDescent="0.35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</row>
    <row r="102" spans="1:77" x14ac:dyDescent="0.35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</row>
    <row r="103" spans="1:77" x14ac:dyDescent="0.35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</row>
    <row r="104" spans="1:77" x14ac:dyDescent="0.35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</row>
    <row r="105" spans="1:77" x14ac:dyDescent="0.35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</row>
    <row r="106" spans="1:77" x14ac:dyDescent="0.35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</row>
    <row r="107" spans="1:77" x14ac:dyDescent="0.35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</row>
    <row r="108" spans="1:77" x14ac:dyDescent="0.35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</row>
    <row r="109" spans="1:77" x14ac:dyDescent="0.35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</row>
    <row r="110" spans="1:77" x14ac:dyDescent="0.35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</row>
    <row r="111" spans="1:77" x14ac:dyDescent="0.35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</row>
    <row r="112" spans="1:77" x14ac:dyDescent="0.35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</row>
    <row r="113" spans="1:77" x14ac:dyDescent="0.35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</row>
    <row r="114" spans="1:77" x14ac:dyDescent="0.35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</row>
    <row r="115" spans="1:77" x14ac:dyDescent="0.3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</row>
    <row r="116" spans="1:77" x14ac:dyDescent="0.35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</row>
    <row r="117" spans="1:77" x14ac:dyDescent="0.35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</row>
    <row r="118" spans="1:77" x14ac:dyDescent="0.35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</row>
    <row r="119" spans="1:77" x14ac:dyDescent="0.35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</row>
    <row r="120" spans="1:77" x14ac:dyDescent="0.35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</row>
    <row r="121" spans="1:77" x14ac:dyDescent="0.35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</row>
    <row r="122" spans="1:77" x14ac:dyDescent="0.35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</row>
    <row r="123" spans="1:77" x14ac:dyDescent="0.35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</row>
    <row r="124" spans="1:77" x14ac:dyDescent="0.35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</row>
    <row r="125" spans="1:77" x14ac:dyDescent="0.35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</row>
    <row r="126" spans="1:77" x14ac:dyDescent="0.35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</row>
    <row r="127" spans="1:77" x14ac:dyDescent="0.35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</row>
    <row r="128" spans="1:77" x14ac:dyDescent="0.35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</row>
    <row r="129" spans="1:77" x14ac:dyDescent="0.35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</row>
    <row r="130" spans="1:77" x14ac:dyDescent="0.35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</row>
    <row r="131" spans="1:77" x14ac:dyDescent="0.35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</row>
    <row r="132" spans="1:77" x14ac:dyDescent="0.35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</row>
    <row r="133" spans="1:77" x14ac:dyDescent="0.35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</row>
    <row r="134" spans="1:77" x14ac:dyDescent="0.35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</row>
    <row r="135" spans="1:77" x14ac:dyDescent="0.3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</row>
    <row r="136" spans="1:77" x14ac:dyDescent="0.35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</row>
    <row r="137" spans="1:77" x14ac:dyDescent="0.35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</row>
    <row r="138" spans="1:77" x14ac:dyDescent="0.35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</row>
    <row r="139" spans="1:77" x14ac:dyDescent="0.35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</row>
    <row r="140" spans="1:77" x14ac:dyDescent="0.35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</row>
    <row r="141" spans="1:77" x14ac:dyDescent="0.35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</row>
    <row r="142" spans="1:77" x14ac:dyDescent="0.35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</row>
    <row r="143" spans="1:77" x14ac:dyDescent="0.35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</row>
    <row r="144" spans="1:77" x14ac:dyDescent="0.35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</row>
    <row r="145" spans="1:77" x14ac:dyDescent="0.3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</row>
    <row r="146" spans="1:77" x14ac:dyDescent="0.35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</row>
    <row r="147" spans="1:77" x14ac:dyDescent="0.35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</row>
    <row r="148" spans="1:77" x14ac:dyDescent="0.35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</row>
    <row r="149" spans="1:77" x14ac:dyDescent="0.35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</row>
    <row r="150" spans="1:77" x14ac:dyDescent="0.35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</row>
    <row r="151" spans="1:77" x14ac:dyDescent="0.35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</row>
    <row r="152" spans="1:77" x14ac:dyDescent="0.35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</row>
    <row r="153" spans="1:77" x14ac:dyDescent="0.35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</row>
    <row r="154" spans="1:77" x14ac:dyDescent="0.35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</row>
    <row r="155" spans="1:77" x14ac:dyDescent="0.35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</row>
    <row r="156" spans="1:77" x14ac:dyDescent="0.35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</row>
    <row r="157" spans="1:77" x14ac:dyDescent="0.35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</row>
    <row r="158" spans="1:77" x14ac:dyDescent="0.35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</row>
    <row r="159" spans="1:77" x14ac:dyDescent="0.35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</row>
    <row r="160" spans="1:77" x14ac:dyDescent="0.35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</row>
    <row r="161" spans="1:77" x14ac:dyDescent="0.35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</row>
    <row r="162" spans="1:77" x14ac:dyDescent="0.35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</row>
    <row r="163" spans="1:77" x14ac:dyDescent="0.35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</row>
    <row r="164" spans="1:77" x14ac:dyDescent="0.35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</row>
    <row r="165" spans="1:77" x14ac:dyDescent="0.35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</row>
    <row r="166" spans="1:77" x14ac:dyDescent="0.35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</row>
    <row r="167" spans="1:77" x14ac:dyDescent="0.35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</row>
    <row r="168" spans="1:77" x14ac:dyDescent="0.3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  <c r="BO168" s="36"/>
      <c r="BP168" s="36"/>
      <c r="BQ168" s="36"/>
      <c r="BR168" s="36"/>
      <c r="BS168" s="36"/>
      <c r="BT168" s="36"/>
      <c r="BU168" s="36"/>
      <c r="BV168" s="36"/>
      <c r="BW168" s="36"/>
      <c r="BX168" s="36"/>
      <c r="BY168" s="36"/>
    </row>
    <row r="169" spans="1:77" x14ac:dyDescent="0.35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6"/>
      <c r="BW169" s="36"/>
      <c r="BX169" s="36"/>
      <c r="BY169" s="36"/>
    </row>
    <row r="170" spans="1:77" x14ac:dyDescent="0.35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  <c r="AU170" s="36"/>
      <c r="AV170" s="36"/>
      <c r="AW170" s="36"/>
      <c r="AX170" s="36"/>
      <c r="AY170" s="36"/>
      <c r="AZ170" s="36"/>
      <c r="BA170" s="36"/>
      <c r="BB170" s="36"/>
      <c r="BC170" s="36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  <c r="BO170" s="36"/>
      <c r="BP170" s="36"/>
      <c r="BQ170" s="36"/>
      <c r="BR170" s="36"/>
      <c r="BS170" s="36"/>
      <c r="BT170" s="36"/>
      <c r="BU170" s="36"/>
      <c r="BV170" s="36"/>
      <c r="BW170" s="36"/>
      <c r="BX170" s="36"/>
      <c r="BY170" s="36"/>
    </row>
    <row r="171" spans="1:77" x14ac:dyDescent="0.35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6"/>
      <c r="BW171" s="36"/>
      <c r="BX171" s="36"/>
      <c r="BY171" s="36"/>
    </row>
    <row r="172" spans="1:77" x14ac:dyDescent="0.35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/>
      <c r="BU172" s="36"/>
      <c r="BV172" s="36"/>
      <c r="BW172" s="36"/>
      <c r="BX172" s="36"/>
      <c r="BY172" s="36"/>
    </row>
    <row r="173" spans="1:77" x14ac:dyDescent="0.35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  <c r="AU173" s="36"/>
      <c r="AV173" s="36"/>
      <c r="AW173" s="36"/>
      <c r="AX173" s="36"/>
      <c r="AY173" s="36"/>
      <c r="AZ173" s="36"/>
      <c r="BA173" s="36"/>
      <c r="BB173" s="36"/>
      <c r="BC173" s="36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  <c r="BQ173" s="36"/>
      <c r="BR173" s="36"/>
      <c r="BS173" s="36"/>
      <c r="BT173" s="36"/>
      <c r="BU173" s="36"/>
      <c r="BV173" s="36"/>
      <c r="BW173" s="36"/>
      <c r="BX173" s="36"/>
      <c r="BY173" s="36"/>
    </row>
    <row r="174" spans="1:77" x14ac:dyDescent="0.35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  <c r="AU174" s="36"/>
      <c r="AV174" s="36"/>
      <c r="AW174" s="36"/>
      <c r="AX174" s="36"/>
      <c r="AY174" s="36"/>
      <c r="AZ174" s="36"/>
      <c r="BA174" s="36"/>
      <c r="BB174" s="36"/>
      <c r="BC174" s="36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  <c r="BQ174" s="36"/>
      <c r="BR174" s="36"/>
      <c r="BS174" s="36"/>
      <c r="BT174" s="36"/>
      <c r="BU174" s="36"/>
      <c r="BV174" s="36"/>
      <c r="BW174" s="36"/>
      <c r="BX174" s="36"/>
      <c r="BY174" s="36"/>
    </row>
    <row r="175" spans="1:77" x14ac:dyDescent="0.35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  <c r="BQ175" s="36"/>
      <c r="BR175" s="36"/>
      <c r="BS175" s="36"/>
      <c r="BT175" s="36"/>
      <c r="BU175" s="36"/>
      <c r="BV175" s="36"/>
      <c r="BW175" s="36"/>
      <c r="BX175" s="36"/>
      <c r="BY175" s="36"/>
    </row>
    <row r="176" spans="1:77" x14ac:dyDescent="0.35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36"/>
      <c r="BS176" s="36"/>
      <c r="BT176" s="36"/>
      <c r="BU176" s="36"/>
      <c r="BV176" s="36"/>
      <c r="BW176" s="36"/>
      <c r="BX176" s="36"/>
      <c r="BY176" s="36"/>
    </row>
    <row r="177" spans="1:77" x14ac:dyDescent="0.35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36"/>
      <c r="BS177" s="36"/>
      <c r="BT177" s="36"/>
      <c r="BU177" s="36"/>
      <c r="BV177" s="36"/>
      <c r="BW177" s="36"/>
      <c r="BX177" s="36"/>
      <c r="BY177" s="36"/>
    </row>
    <row r="178" spans="1:77" x14ac:dyDescent="0.35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36"/>
      <c r="BS178" s="36"/>
      <c r="BT178" s="36"/>
      <c r="BU178" s="36"/>
      <c r="BV178" s="36"/>
      <c r="BW178" s="36"/>
      <c r="BX178" s="36"/>
      <c r="BY178" s="36"/>
    </row>
    <row r="179" spans="1:77" x14ac:dyDescent="0.35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6"/>
      <c r="BX179" s="36"/>
      <c r="BY179" s="36"/>
    </row>
    <row r="180" spans="1:77" x14ac:dyDescent="0.35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36"/>
      <c r="BW180" s="36"/>
      <c r="BX180" s="36"/>
      <c r="BY180" s="36"/>
    </row>
    <row r="181" spans="1:77" x14ac:dyDescent="0.35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  <c r="AU181" s="36"/>
      <c r="AV181" s="36"/>
      <c r="AW181" s="36"/>
      <c r="AX181" s="36"/>
      <c r="AY181" s="36"/>
      <c r="AZ181" s="36"/>
      <c r="BA181" s="36"/>
      <c r="BB181" s="36"/>
      <c r="BC181" s="36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6"/>
      <c r="BW181" s="36"/>
      <c r="BX181" s="36"/>
      <c r="BY181" s="36"/>
    </row>
    <row r="182" spans="1:77" x14ac:dyDescent="0.35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  <c r="AU182" s="36"/>
      <c r="AV182" s="36"/>
      <c r="AW182" s="36"/>
      <c r="AX182" s="36"/>
      <c r="AY182" s="36"/>
      <c r="AZ182" s="36"/>
      <c r="BA182" s="36"/>
      <c r="BB182" s="36"/>
      <c r="BC182" s="36"/>
      <c r="BD182" s="36"/>
      <c r="BE182" s="36"/>
      <c r="BF182" s="36"/>
      <c r="BG182" s="36"/>
      <c r="BH182" s="36"/>
      <c r="BI182" s="36"/>
      <c r="BJ182" s="36"/>
      <c r="BK182" s="36"/>
      <c r="BL182" s="36"/>
      <c r="BM182" s="36"/>
      <c r="BN182" s="36"/>
      <c r="BO182" s="36"/>
      <c r="BP182" s="36"/>
      <c r="BQ182" s="36"/>
      <c r="BR182" s="36"/>
      <c r="BS182" s="36"/>
      <c r="BT182" s="36"/>
      <c r="BU182" s="36"/>
      <c r="BV182" s="36"/>
      <c r="BW182" s="36"/>
      <c r="BX182" s="36"/>
      <c r="BY182" s="36"/>
    </row>
    <row r="183" spans="1:77" x14ac:dyDescent="0.35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</row>
    <row r="184" spans="1:77" x14ac:dyDescent="0.35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36"/>
      <c r="BS184" s="36"/>
      <c r="BT184" s="36"/>
      <c r="BU184" s="36"/>
      <c r="BV184" s="36"/>
      <c r="BW184" s="36"/>
      <c r="BX184" s="36"/>
      <c r="BY184" s="36"/>
    </row>
    <row r="185" spans="1:77" x14ac:dyDescent="0.35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  <c r="BX185" s="36"/>
      <c r="BY185" s="36"/>
    </row>
    <row r="186" spans="1:77" x14ac:dyDescent="0.35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6"/>
      <c r="BQ186" s="36"/>
      <c r="BR186" s="36"/>
      <c r="BS186" s="36"/>
      <c r="BT186" s="36"/>
      <c r="BU186" s="36"/>
      <c r="BV186" s="36"/>
      <c r="BW186" s="36"/>
      <c r="BX186" s="36"/>
      <c r="BY186" s="36"/>
    </row>
    <row r="187" spans="1:77" x14ac:dyDescent="0.35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36"/>
      <c r="BR187" s="36"/>
      <c r="BS187" s="36"/>
      <c r="BT187" s="36"/>
      <c r="BU187" s="36"/>
      <c r="BV187" s="36"/>
      <c r="BW187" s="36"/>
      <c r="BX187" s="36"/>
      <c r="BY187" s="36"/>
    </row>
    <row r="188" spans="1:77" x14ac:dyDescent="0.35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  <c r="BQ188" s="36"/>
      <c r="BR188" s="36"/>
      <c r="BS188" s="36"/>
      <c r="BT188" s="36"/>
      <c r="BU188" s="36"/>
      <c r="BV188" s="36"/>
      <c r="BW188" s="36"/>
      <c r="BX188" s="36"/>
      <c r="BY188" s="36"/>
    </row>
    <row r="189" spans="1:77" x14ac:dyDescent="0.35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  <c r="BO189" s="36"/>
      <c r="BP189" s="36"/>
      <c r="BQ189" s="36"/>
      <c r="BR189" s="36"/>
      <c r="BS189" s="36"/>
      <c r="BT189" s="36"/>
      <c r="BU189" s="36"/>
      <c r="BV189" s="36"/>
      <c r="BW189" s="36"/>
      <c r="BX189" s="36"/>
      <c r="BY189" s="36"/>
    </row>
    <row r="190" spans="1:77" x14ac:dyDescent="0.35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  <c r="BM190" s="36"/>
      <c r="BN190" s="36"/>
      <c r="BO190" s="36"/>
      <c r="BP190" s="36"/>
      <c r="BQ190" s="36"/>
      <c r="BR190" s="36"/>
      <c r="BS190" s="36"/>
      <c r="BT190" s="36"/>
      <c r="BU190" s="36"/>
      <c r="BV190" s="36"/>
      <c r="BW190" s="36"/>
      <c r="BX190" s="36"/>
      <c r="BY190" s="36"/>
    </row>
    <row r="191" spans="1:77" x14ac:dyDescent="0.35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  <c r="AU191" s="36"/>
      <c r="AV191" s="36"/>
      <c r="AW191" s="36"/>
      <c r="AX191" s="36"/>
      <c r="AY191" s="36"/>
      <c r="AZ191" s="36"/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  <c r="BM191" s="36"/>
      <c r="BN191" s="36"/>
      <c r="BO191" s="36"/>
      <c r="BP191" s="36"/>
      <c r="BQ191" s="36"/>
      <c r="BR191" s="36"/>
      <c r="BS191" s="36"/>
      <c r="BT191" s="36"/>
      <c r="BU191" s="36"/>
      <c r="BV191" s="36"/>
      <c r="BW191" s="36"/>
      <c r="BX191" s="36"/>
      <c r="BY191" s="36"/>
    </row>
    <row r="192" spans="1:77" x14ac:dyDescent="0.35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  <c r="AU192" s="36"/>
      <c r="AV192" s="36"/>
      <c r="AW192" s="36"/>
      <c r="AX192" s="36"/>
      <c r="AY192" s="36"/>
      <c r="AZ192" s="36"/>
      <c r="BA192" s="36"/>
      <c r="BB192" s="36"/>
      <c r="BC192" s="36"/>
      <c r="BD192" s="36"/>
      <c r="BE192" s="36"/>
      <c r="BF192" s="36"/>
      <c r="BG192" s="36"/>
      <c r="BH192" s="36"/>
      <c r="BI192" s="36"/>
      <c r="BJ192" s="36"/>
      <c r="BK192" s="36"/>
      <c r="BL192" s="36"/>
      <c r="BM192" s="36"/>
      <c r="BN192" s="36"/>
      <c r="BO192" s="36"/>
      <c r="BP192" s="36"/>
      <c r="BQ192" s="36"/>
      <c r="BR192" s="36"/>
      <c r="BS192" s="36"/>
      <c r="BT192" s="36"/>
      <c r="BU192" s="36"/>
      <c r="BV192" s="36"/>
      <c r="BW192" s="36"/>
      <c r="BX192" s="36"/>
      <c r="BY192" s="36"/>
    </row>
    <row r="193" spans="1:77" x14ac:dyDescent="0.35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6"/>
      <c r="AX193" s="36"/>
      <c r="AY193" s="36"/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36"/>
      <c r="BL193" s="36"/>
      <c r="BM193" s="36"/>
      <c r="BN193" s="36"/>
      <c r="BO193" s="36"/>
      <c r="BP193" s="36"/>
      <c r="BQ193" s="36"/>
      <c r="BR193" s="36"/>
      <c r="BS193" s="36"/>
      <c r="BT193" s="36"/>
      <c r="BU193" s="36"/>
      <c r="BV193" s="36"/>
      <c r="BW193" s="36"/>
      <c r="BX193" s="36"/>
      <c r="BY193" s="36"/>
    </row>
    <row r="194" spans="1:77" x14ac:dyDescent="0.35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  <c r="BM194" s="36"/>
      <c r="BN194" s="36"/>
      <c r="BO194" s="36"/>
      <c r="BP194" s="36"/>
      <c r="BQ194" s="36"/>
      <c r="BR194" s="36"/>
      <c r="BS194" s="36"/>
      <c r="BT194" s="36"/>
      <c r="BU194" s="36"/>
      <c r="BV194" s="36"/>
      <c r="BW194" s="36"/>
      <c r="BX194" s="36"/>
      <c r="BY194" s="36"/>
    </row>
    <row r="195" spans="1:77" x14ac:dyDescent="0.35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  <c r="BO195" s="36"/>
      <c r="BP195" s="36"/>
      <c r="BQ195" s="36"/>
      <c r="BR195" s="36"/>
      <c r="BS195" s="36"/>
      <c r="BT195" s="36"/>
      <c r="BU195" s="36"/>
      <c r="BV195" s="36"/>
      <c r="BW195" s="36"/>
      <c r="BX195" s="36"/>
      <c r="BY195" s="36"/>
    </row>
    <row r="196" spans="1:77" x14ac:dyDescent="0.35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36"/>
      <c r="BO196" s="36"/>
      <c r="BP196" s="36"/>
      <c r="BQ196" s="36"/>
      <c r="BR196" s="36"/>
      <c r="BS196" s="36"/>
      <c r="BT196" s="36"/>
      <c r="BU196" s="36"/>
      <c r="BV196" s="36"/>
      <c r="BW196" s="36"/>
      <c r="BX196" s="36"/>
      <c r="BY196" s="36"/>
    </row>
    <row r="197" spans="1:77" x14ac:dyDescent="0.35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  <c r="BO197" s="36"/>
      <c r="BP197" s="36"/>
      <c r="BQ197" s="36"/>
      <c r="BR197" s="36"/>
      <c r="BS197" s="36"/>
      <c r="BT197" s="36"/>
      <c r="BU197" s="36"/>
      <c r="BV197" s="36"/>
      <c r="BW197" s="36"/>
      <c r="BX197" s="36"/>
      <c r="BY197" s="36"/>
    </row>
    <row r="198" spans="1:77" x14ac:dyDescent="0.35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  <c r="BO198" s="36"/>
      <c r="BP198" s="36"/>
      <c r="BQ198" s="36"/>
      <c r="BR198" s="36"/>
      <c r="BS198" s="36"/>
      <c r="BT198" s="36"/>
      <c r="BU198" s="36"/>
      <c r="BV198" s="36"/>
      <c r="BW198" s="36"/>
      <c r="BX198" s="36"/>
      <c r="BY198" s="36"/>
    </row>
    <row r="199" spans="1:77" x14ac:dyDescent="0.35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  <c r="AU199" s="36"/>
      <c r="AV199" s="36"/>
      <c r="AW199" s="36"/>
      <c r="AX199" s="36"/>
      <c r="AY199" s="36"/>
      <c r="AZ199" s="36"/>
      <c r="BA199" s="36"/>
      <c r="BB199" s="36"/>
      <c r="BC199" s="36"/>
      <c r="BD199" s="36"/>
      <c r="BE199" s="36"/>
      <c r="BF199" s="36"/>
      <c r="BG199" s="36"/>
      <c r="BH199" s="36"/>
      <c r="BI199" s="36"/>
      <c r="BJ199" s="36"/>
      <c r="BK199" s="36"/>
      <c r="BL199" s="36"/>
      <c r="BM199" s="36"/>
      <c r="BN199" s="36"/>
      <c r="BO199" s="36"/>
      <c r="BP199" s="36"/>
      <c r="BQ199" s="36"/>
      <c r="BR199" s="36"/>
      <c r="BS199" s="36"/>
      <c r="BT199" s="36"/>
      <c r="BU199" s="36"/>
      <c r="BV199" s="36"/>
      <c r="BW199" s="36"/>
      <c r="BX199" s="36"/>
      <c r="BY199" s="36"/>
    </row>
    <row r="200" spans="1:77" x14ac:dyDescent="0.35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  <c r="AU200" s="36"/>
      <c r="AV200" s="36"/>
      <c r="AW200" s="36"/>
      <c r="AX200" s="36"/>
      <c r="AY200" s="36"/>
      <c r="AZ200" s="36"/>
      <c r="BA200" s="36"/>
      <c r="BB200" s="36"/>
      <c r="BC200" s="36"/>
      <c r="BD200" s="36"/>
      <c r="BE200" s="36"/>
      <c r="BF200" s="36"/>
      <c r="BG200" s="36"/>
      <c r="BH200" s="36"/>
      <c r="BI200" s="36"/>
      <c r="BJ200" s="36"/>
      <c r="BK200" s="36"/>
      <c r="BL200" s="36"/>
      <c r="BM200" s="36"/>
      <c r="BN200" s="36"/>
      <c r="BO200" s="36"/>
      <c r="BP200" s="36"/>
      <c r="BQ200" s="36"/>
      <c r="BR200" s="36"/>
      <c r="BS200" s="36"/>
      <c r="BT200" s="36"/>
      <c r="BU200" s="36"/>
      <c r="BV200" s="36"/>
      <c r="BW200" s="36"/>
      <c r="BX200" s="36"/>
      <c r="BY200" s="36"/>
    </row>
    <row r="201" spans="1:77" x14ac:dyDescent="0.35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  <c r="AU201" s="36"/>
      <c r="AV201" s="36"/>
      <c r="AW201" s="36"/>
      <c r="AX201" s="36"/>
      <c r="AY201" s="36"/>
      <c r="AZ201" s="36"/>
      <c r="BA201" s="36"/>
      <c r="BB201" s="36"/>
      <c r="BC201" s="36"/>
      <c r="BD201" s="36"/>
      <c r="BE201" s="36"/>
      <c r="BF201" s="36"/>
      <c r="BG201" s="36"/>
      <c r="BH201" s="36"/>
      <c r="BI201" s="36"/>
      <c r="BJ201" s="36"/>
      <c r="BK201" s="36"/>
      <c r="BL201" s="36"/>
      <c r="BM201" s="36"/>
      <c r="BN201" s="36"/>
      <c r="BO201" s="36"/>
      <c r="BP201" s="36"/>
      <c r="BQ201" s="36"/>
      <c r="BR201" s="36"/>
      <c r="BS201" s="36"/>
      <c r="BT201" s="36"/>
      <c r="BU201" s="36"/>
      <c r="BV201" s="36"/>
      <c r="BW201" s="36"/>
      <c r="BX201" s="36"/>
      <c r="BY201" s="36"/>
    </row>
    <row r="202" spans="1:77" x14ac:dyDescent="0.35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6"/>
      <c r="AX202" s="36"/>
      <c r="AY202" s="36"/>
      <c r="AZ202" s="36"/>
      <c r="BA202" s="36"/>
      <c r="BB202" s="36"/>
      <c r="BC202" s="36"/>
      <c r="BD202" s="36"/>
      <c r="BE202" s="36"/>
      <c r="BF202" s="36"/>
      <c r="BG202" s="36"/>
      <c r="BH202" s="36"/>
      <c r="BI202" s="36"/>
      <c r="BJ202" s="36"/>
      <c r="BK202" s="36"/>
      <c r="BL202" s="36"/>
      <c r="BM202" s="36"/>
      <c r="BN202" s="36"/>
      <c r="BO202" s="36"/>
      <c r="BP202" s="36"/>
      <c r="BQ202" s="36"/>
      <c r="BR202" s="36"/>
      <c r="BS202" s="36"/>
      <c r="BT202" s="36"/>
      <c r="BU202" s="36"/>
      <c r="BV202" s="36"/>
      <c r="BW202" s="36"/>
      <c r="BX202" s="36"/>
      <c r="BY202" s="36"/>
    </row>
    <row r="203" spans="1:77" x14ac:dyDescent="0.35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  <c r="AU203" s="36"/>
      <c r="AV203" s="36"/>
      <c r="AW203" s="36"/>
      <c r="AX203" s="36"/>
      <c r="AY203" s="36"/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36"/>
      <c r="BL203" s="36"/>
      <c r="BM203" s="36"/>
      <c r="BN203" s="36"/>
      <c r="BO203" s="36"/>
      <c r="BP203" s="36"/>
      <c r="BQ203" s="36"/>
      <c r="BR203" s="36"/>
      <c r="BS203" s="36"/>
      <c r="BT203" s="36"/>
      <c r="BU203" s="36"/>
      <c r="BV203" s="36"/>
      <c r="BW203" s="36"/>
      <c r="BX203" s="36"/>
      <c r="BY203" s="36"/>
    </row>
    <row r="204" spans="1:77" x14ac:dyDescent="0.35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  <c r="AU204" s="36"/>
      <c r="AV204" s="36"/>
      <c r="AW204" s="36"/>
      <c r="AX204" s="36"/>
      <c r="AY204" s="36"/>
      <c r="AZ204" s="36"/>
      <c r="BA204" s="36"/>
      <c r="BB204" s="36"/>
      <c r="BC204" s="36"/>
      <c r="BD204" s="36"/>
      <c r="BE204" s="36"/>
      <c r="BF204" s="36"/>
      <c r="BG204" s="36"/>
      <c r="BH204" s="36"/>
      <c r="BI204" s="36"/>
      <c r="BJ204" s="36"/>
      <c r="BK204" s="36"/>
      <c r="BL204" s="36"/>
      <c r="BM204" s="36"/>
      <c r="BN204" s="36"/>
      <c r="BO204" s="36"/>
      <c r="BP204" s="36"/>
      <c r="BQ204" s="36"/>
      <c r="BR204" s="36"/>
      <c r="BS204" s="36"/>
      <c r="BT204" s="36"/>
      <c r="BU204" s="36"/>
      <c r="BV204" s="36"/>
      <c r="BW204" s="36"/>
      <c r="BX204" s="36"/>
      <c r="BY204" s="36"/>
    </row>
    <row r="205" spans="1:77" x14ac:dyDescent="0.3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  <c r="AU205" s="36"/>
      <c r="AV205" s="36"/>
      <c r="AW205" s="36"/>
      <c r="AX205" s="36"/>
      <c r="AY205" s="36"/>
      <c r="AZ205" s="36"/>
      <c r="BA205" s="36"/>
      <c r="BB205" s="36"/>
      <c r="BC205" s="36"/>
      <c r="BD205" s="36"/>
      <c r="BE205" s="36"/>
      <c r="BF205" s="36"/>
      <c r="BG205" s="36"/>
      <c r="BH205" s="36"/>
      <c r="BI205" s="36"/>
      <c r="BJ205" s="36"/>
      <c r="BK205" s="36"/>
      <c r="BL205" s="36"/>
      <c r="BM205" s="36"/>
      <c r="BN205" s="36"/>
      <c r="BO205" s="36"/>
      <c r="BP205" s="36"/>
      <c r="BQ205" s="36"/>
      <c r="BR205" s="36"/>
      <c r="BS205" s="36"/>
      <c r="BT205" s="36"/>
      <c r="BU205" s="36"/>
      <c r="BV205" s="36"/>
      <c r="BW205" s="36"/>
      <c r="BX205" s="36"/>
      <c r="BY205" s="36"/>
    </row>
    <row r="206" spans="1:77" x14ac:dyDescent="0.35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  <c r="AU206" s="36"/>
      <c r="AV206" s="36"/>
      <c r="AW206" s="36"/>
      <c r="AX206" s="36"/>
      <c r="AY206" s="36"/>
      <c r="AZ206" s="36"/>
      <c r="BA206" s="36"/>
      <c r="BB206" s="36"/>
      <c r="BC206" s="36"/>
      <c r="BD206" s="36"/>
      <c r="BE206" s="36"/>
      <c r="BF206" s="36"/>
      <c r="BG206" s="36"/>
      <c r="BH206" s="36"/>
      <c r="BI206" s="36"/>
      <c r="BJ206" s="36"/>
      <c r="BK206" s="36"/>
      <c r="BL206" s="36"/>
      <c r="BM206" s="36"/>
      <c r="BN206" s="36"/>
      <c r="BO206" s="36"/>
      <c r="BP206" s="36"/>
      <c r="BQ206" s="36"/>
      <c r="BR206" s="36"/>
      <c r="BS206" s="36"/>
      <c r="BT206" s="36"/>
      <c r="BU206" s="36"/>
      <c r="BV206" s="36"/>
      <c r="BW206" s="36"/>
      <c r="BX206" s="36"/>
      <c r="BY206" s="36"/>
    </row>
    <row r="207" spans="1:77" x14ac:dyDescent="0.35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6"/>
      <c r="AX207" s="36"/>
      <c r="AY207" s="36"/>
      <c r="AZ207" s="36"/>
      <c r="BA207" s="36"/>
      <c r="BB207" s="36"/>
      <c r="BC207" s="36"/>
      <c r="BD207" s="36"/>
      <c r="BE207" s="36"/>
      <c r="BF207" s="36"/>
      <c r="BG207" s="36"/>
      <c r="BH207" s="36"/>
      <c r="BI207" s="36"/>
      <c r="BJ207" s="36"/>
      <c r="BK207" s="36"/>
      <c r="BL207" s="36"/>
      <c r="BM207" s="36"/>
      <c r="BN207" s="36"/>
      <c r="BO207" s="36"/>
      <c r="BP207" s="36"/>
      <c r="BQ207" s="36"/>
      <c r="BR207" s="36"/>
      <c r="BS207" s="36"/>
      <c r="BT207" s="36"/>
      <c r="BU207" s="36"/>
      <c r="BV207" s="36"/>
      <c r="BW207" s="36"/>
      <c r="BX207" s="36"/>
      <c r="BY207" s="36"/>
    </row>
    <row r="208" spans="1:77" x14ac:dyDescent="0.35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6"/>
      <c r="AX208" s="36"/>
      <c r="AY208" s="36"/>
      <c r="AZ208" s="36"/>
      <c r="BA208" s="36"/>
      <c r="BB208" s="36"/>
      <c r="BC208" s="36"/>
      <c r="BD208" s="36"/>
      <c r="BE208" s="36"/>
      <c r="BF208" s="36"/>
      <c r="BG208" s="36"/>
      <c r="BH208" s="36"/>
      <c r="BI208" s="36"/>
      <c r="BJ208" s="36"/>
      <c r="BK208" s="36"/>
      <c r="BL208" s="36"/>
      <c r="BM208" s="36"/>
      <c r="BN208" s="36"/>
      <c r="BO208" s="36"/>
      <c r="BP208" s="36"/>
      <c r="BQ208" s="36"/>
      <c r="BR208" s="36"/>
      <c r="BS208" s="36"/>
      <c r="BT208" s="36"/>
      <c r="BU208" s="36"/>
      <c r="BV208" s="36"/>
      <c r="BW208" s="36"/>
      <c r="BX208" s="36"/>
      <c r="BY208" s="36"/>
    </row>
    <row r="209" spans="1:77" x14ac:dyDescent="0.35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  <c r="AU209" s="36"/>
      <c r="AV209" s="36"/>
      <c r="AW209" s="36"/>
      <c r="AX209" s="36"/>
      <c r="AY209" s="36"/>
      <c r="AZ209" s="36"/>
      <c r="BA209" s="36"/>
      <c r="BB209" s="36"/>
      <c r="BC209" s="36"/>
      <c r="BD209" s="36"/>
      <c r="BE209" s="36"/>
      <c r="BF209" s="36"/>
      <c r="BG209" s="36"/>
      <c r="BH209" s="36"/>
      <c r="BI209" s="36"/>
      <c r="BJ209" s="36"/>
      <c r="BK209" s="36"/>
      <c r="BL209" s="36"/>
      <c r="BM209" s="36"/>
      <c r="BN209" s="36"/>
      <c r="BO209" s="36"/>
      <c r="BP209" s="36"/>
      <c r="BQ209" s="36"/>
      <c r="BR209" s="36"/>
      <c r="BS209" s="36"/>
      <c r="BT209" s="36"/>
      <c r="BU209" s="36"/>
      <c r="BV209" s="36"/>
      <c r="BW209" s="36"/>
      <c r="BX209" s="36"/>
      <c r="BY209" s="36"/>
    </row>
    <row r="210" spans="1:77" x14ac:dyDescent="0.35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  <c r="AU210" s="36"/>
      <c r="AV210" s="36"/>
      <c r="AW210" s="36"/>
      <c r="AX210" s="36"/>
      <c r="AY210" s="36"/>
      <c r="AZ210" s="36"/>
      <c r="BA210" s="36"/>
      <c r="BB210" s="36"/>
      <c r="BC210" s="36"/>
      <c r="BD210" s="36"/>
      <c r="BE210" s="36"/>
      <c r="BF210" s="36"/>
      <c r="BG210" s="36"/>
      <c r="BH210" s="36"/>
      <c r="BI210" s="36"/>
      <c r="BJ210" s="36"/>
      <c r="BK210" s="36"/>
      <c r="BL210" s="36"/>
      <c r="BM210" s="36"/>
      <c r="BN210" s="36"/>
      <c r="BO210" s="36"/>
      <c r="BP210" s="36"/>
      <c r="BQ210" s="36"/>
      <c r="BR210" s="36"/>
      <c r="BS210" s="36"/>
      <c r="BT210" s="36"/>
      <c r="BU210" s="36"/>
      <c r="BV210" s="36"/>
      <c r="BW210" s="36"/>
      <c r="BX210" s="36"/>
      <c r="BY210" s="36"/>
    </row>
    <row r="211" spans="1:77" x14ac:dyDescent="0.35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  <c r="AU211" s="36"/>
      <c r="AV211" s="36"/>
      <c r="AW211" s="36"/>
      <c r="AX211" s="36"/>
      <c r="AY211" s="36"/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36"/>
      <c r="BL211" s="36"/>
      <c r="BM211" s="36"/>
      <c r="BN211" s="36"/>
      <c r="BO211" s="36"/>
      <c r="BP211" s="36"/>
      <c r="BQ211" s="36"/>
      <c r="BR211" s="36"/>
      <c r="BS211" s="36"/>
      <c r="BT211" s="36"/>
      <c r="BU211" s="36"/>
      <c r="BV211" s="36"/>
      <c r="BW211" s="36"/>
      <c r="BX211" s="36"/>
      <c r="BY211" s="36"/>
    </row>
    <row r="212" spans="1:77" x14ac:dyDescent="0.35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  <c r="AU212" s="36"/>
      <c r="AV212" s="36"/>
      <c r="AW212" s="36"/>
      <c r="AX212" s="36"/>
      <c r="AY212" s="36"/>
      <c r="AZ212" s="36"/>
      <c r="BA212" s="36"/>
      <c r="BB212" s="36"/>
      <c r="BC212" s="36"/>
      <c r="BD212" s="36"/>
      <c r="BE212" s="36"/>
      <c r="BF212" s="36"/>
      <c r="BG212" s="36"/>
      <c r="BH212" s="36"/>
      <c r="BI212" s="36"/>
      <c r="BJ212" s="36"/>
      <c r="BK212" s="36"/>
      <c r="BL212" s="36"/>
      <c r="BM212" s="36"/>
      <c r="BN212" s="36"/>
      <c r="BO212" s="36"/>
      <c r="BP212" s="36"/>
      <c r="BQ212" s="36"/>
      <c r="BR212" s="36"/>
      <c r="BS212" s="36"/>
      <c r="BT212" s="36"/>
      <c r="BU212" s="36"/>
      <c r="BV212" s="36"/>
      <c r="BW212" s="36"/>
      <c r="BX212" s="36"/>
      <c r="BY212" s="36"/>
    </row>
    <row r="213" spans="1:77" x14ac:dyDescent="0.35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  <c r="AU213" s="36"/>
      <c r="AV213" s="36"/>
      <c r="AW213" s="36"/>
      <c r="AX213" s="36"/>
      <c r="AY213" s="36"/>
      <c r="AZ213" s="36"/>
      <c r="BA213" s="36"/>
      <c r="BB213" s="36"/>
      <c r="BC213" s="36"/>
      <c r="BD213" s="36"/>
      <c r="BE213" s="36"/>
      <c r="BF213" s="36"/>
      <c r="BG213" s="36"/>
      <c r="BH213" s="36"/>
      <c r="BI213" s="36"/>
      <c r="BJ213" s="36"/>
      <c r="BK213" s="36"/>
      <c r="BL213" s="36"/>
      <c r="BM213" s="36"/>
      <c r="BN213" s="36"/>
      <c r="BO213" s="36"/>
      <c r="BP213" s="36"/>
      <c r="BQ213" s="36"/>
      <c r="BR213" s="36"/>
      <c r="BS213" s="36"/>
      <c r="BT213" s="36"/>
      <c r="BU213" s="36"/>
      <c r="BV213" s="36"/>
      <c r="BW213" s="36"/>
      <c r="BX213" s="36"/>
      <c r="BY213" s="36"/>
    </row>
    <row r="214" spans="1:77" x14ac:dyDescent="0.35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  <c r="AU214" s="36"/>
      <c r="AV214" s="36"/>
      <c r="AW214" s="36"/>
      <c r="AX214" s="36"/>
      <c r="AY214" s="36"/>
      <c r="AZ214" s="36"/>
      <c r="BA214" s="36"/>
      <c r="BB214" s="36"/>
      <c r="BC214" s="36"/>
      <c r="BD214" s="36"/>
      <c r="BE214" s="36"/>
      <c r="BF214" s="36"/>
      <c r="BG214" s="36"/>
      <c r="BH214" s="36"/>
      <c r="BI214" s="36"/>
      <c r="BJ214" s="36"/>
      <c r="BK214" s="36"/>
      <c r="BL214" s="36"/>
      <c r="BM214" s="36"/>
      <c r="BN214" s="36"/>
      <c r="BO214" s="36"/>
      <c r="BP214" s="36"/>
      <c r="BQ214" s="36"/>
      <c r="BR214" s="36"/>
      <c r="BS214" s="36"/>
      <c r="BT214" s="36"/>
      <c r="BU214" s="36"/>
      <c r="BV214" s="36"/>
      <c r="BW214" s="36"/>
      <c r="BX214" s="36"/>
      <c r="BY214" s="36"/>
    </row>
    <row r="215" spans="1:77" x14ac:dyDescent="0.35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  <c r="AU215" s="36"/>
      <c r="AV215" s="36"/>
      <c r="AW215" s="36"/>
      <c r="AX215" s="36"/>
      <c r="AY215" s="36"/>
      <c r="AZ215" s="36"/>
      <c r="BA215" s="36"/>
      <c r="BB215" s="36"/>
      <c r="BC215" s="36"/>
      <c r="BD215" s="36"/>
      <c r="BE215" s="36"/>
      <c r="BF215" s="36"/>
      <c r="BG215" s="36"/>
      <c r="BH215" s="36"/>
      <c r="BI215" s="36"/>
      <c r="BJ215" s="36"/>
      <c r="BK215" s="36"/>
      <c r="BL215" s="36"/>
      <c r="BM215" s="36"/>
      <c r="BN215" s="36"/>
      <c r="BO215" s="36"/>
      <c r="BP215" s="36"/>
      <c r="BQ215" s="36"/>
      <c r="BR215" s="36"/>
      <c r="BS215" s="36"/>
      <c r="BT215" s="36"/>
      <c r="BU215" s="36"/>
      <c r="BV215" s="36"/>
      <c r="BW215" s="36"/>
      <c r="BX215" s="36"/>
      <c r="BY215" s="36"/>
    </row>
    <row r="216" spans="1:77" x14ac:dyDescent="0.35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  <c r="AU216" s="36"/>
      <c r="AV216" s="36"/>
      <c r="AW216" s="36"/>
      <c r="AX216" s="36"/>
      <c r="AY216" s="36"/>
      <c r="AZ216" s="36"/>
      <c r="BA216" s="36"/>
      <c r="BB216" s="36"/>
      <c r="BC216" s="36"/>
      <c r="BD216" s="36"/>
      <c r="BE216" s="36"/>
      <c r="BF216" s="36"/>
      <c r="BG216" s="36"/>
      <c r="BH216" s="36"/>
      <c r="BI216" s="36"/>
      <c r="BJ216" s="36"/>
      <c r="BK216" s="36"/>
      <c r="BL216" s="36"/>
      <c r="BM216" s="36"/>
      <c r="BN216" s="36"/>
      <c r="BO216" s="36"/>
      <c r="BP216" s="36"/>
      <c r="BQ216" s="36"/>
      <c r="BR216" s="36"/>
      <c r="BS216" s="36"/>
      <c r="BT216" s="36"/>
      <c r="BU216" s="36"/>
      <c r="BV216" s="36"/>
      <c r="BW216" s="36"/>
      <c r="BX216" s="36"/>
      <c r="BY216" s="36"/>
    </row>
    <row r="217" spans="1:77" x14ac:dyDescent="0.35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  <c r="AU217" s="36"/>
      <c r="AV217" s="36"/>
      <c r="AW217" s="36"/>
      <c r="AX217" s="36"/>
      <c r="AY217" s="36"/>
      <c r="AZ217" s="36"/>
      <c r="BA217" s="36"/>
      <c r="BB217" s="36"/>
      <c r="BC217" s="36"/>
      <c r="BD217" s="36"/>
      <c r="BE217" s="36"/>
      <c r="BF217" s="36"/>
      <c r="BG217" s="36"/>
      <c r="BH217" s="36"/>
      <c r="BI217" s="36"/>
      <c r="BJ217" s="36"/>
      <c r="BK217" s="36"/>
      <c r="BL217" s="36"/>
      <c r="BM217" s="36"/>
      <c r="BN217" s="36"/>
      <c r="BO217" s="36"/>
      <c r="BP217" s="36"/>
      <c r="BQ217" s="36"/>
      <c r="BR217" s="36"/>
      <c r="BS217" s="36"/>
      <c r="BT217" s="36"/>
      <c r="BU217" s="36"/>
      <c r="BV217" s="36"/>
      <c r="BW217" s="36"/>
      <c r="BX217" s="36"/>
      <c r="BY217" s="36"/>
    </row>
    <row r="218" spans="1:77" x14ac:dyDescent="0.35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  <c r="AU218" s="36"/>
      <c r="AV218" s="36"/>
      <c r="AW218" s="36"/>
      <c r="AX218" s="36"/>
      <c r="AY218" s="36"/>
      <c r="AZ218" s="36"/>
      <c r="BA218" s="36"/>
      <c r="BB218" s="36"/>
      <c r="BC218" s="36"/>
      <c r="BD218" s="36"/>
      <c r="BE218" s="36"/>
      <c r="BF218" s="36"/>
      <c r="BG218" s="36"/>
      <c r="BH218" s="36"/>
      <c r="BI218" s="36"/>
      <c r="BJ218" s="36"/>
      <c r="BK218" s="36"/>
      <c r="BL218" s="36"/>
      <c r="BM218" s="36"/>
      <c r="BN218" s="36"/>
      <c r="BO218" s="36"/>
      <c r="BP218" s="36"/>
      <c r="BQ218" s="36"/>
      <c r="BR218" s="36"/>
      <c r="BS218" s="36"/>
      <c r="BT218" s="36"/>
      <c r="BU218" s="36"/>
      <c r="BV218" s="36"/>
      <c r="BW218" s="36"/>
      <c r="BX218" s="36"/>
      <c r="BY218" s="36"/>
    </row>
    <row r="219" spans="1:77" x14ac:dyDescent="0.35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6"/>
      <c r="AX219" s="36"/>
      <c r="AY219" s="36"/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36"/>
      <c r="BL219" s="36"/>
      <c r="BM219" s="36"/>
      <c r="BN219" s="36"/>
      <c r="BO219" s="36"/>
      <c r="BP219" s="36"/>
      <c r="BQ219" s="36"/>
      <c r="BR219" s="36"/>
      <c r="BS219" s="36"/>
      <c r="BT219" s="36"/>
      <c r="BU219" s="36"/>
      <c r="BV219" s="36"/>
      <c r="BW219" s="36"/>
      <c r="BX219" s="36"/>
      <c r="BY219" s="36"/>
    </row>
    <row r="220" spans="1:77" x14ac:dyDescent="0.35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  <c r="AU220" s="36"/>
      <c r="AV220" s="36"/>
      <c r="AW220" s="36"/>
      <c r="AX220" s="36"/>
      <c r="AY220" s="36"/>
      <c r="AZ220" s="36"/>
      <c r="BA220" s="36"/>
      <c r="BB220" s="36"/>
      <c r="BC220" s="36"/>
      <c r="BD220" s="36"/>
      <c r="BE220" s="36"/>
      <c r="BF220" s="36"/>
      <c r="BG220" s="36"/>
      <c r="BH220" s="36"/>
      <c r="BI220" s="36"/>
      <c r="BJ220" s="36"/>
      <c r="BK220" s="36"/>
      <c r="BL220" s="36"/>
      <c r="BM220" s="36"/>
      <c r="BN220" s="36"/>
      <c r="BO220" s="36"/>
      <c r="BP220" s="36"/>
      <c r="BQ220" s="36"/>
      <c r="BR220" s="36"/>
      <c r="BS220" s="36"/>
      <c r="BT220" s="36"/>
      <c r="BU220" s="36"/>
      <c r="BV220" s="36"/>
      <c r="BW220" s="36"/>
      <c r="BX220" s="36"/>
      <c r="BY220" s="36"/>
    </row>
    <row r="221" spans="1:77" x14ac:dyDescent="0.35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  <c r="AU221" s="36"/>
      <c r="AV221" s="36"/>
      <c r="AW221" s="36"/>
      <c r="AX221" s="36"/>
      <c r="AY221" s="36"/>
      <c r="AZ221" s="36"/>
      <c r="BA221" s="36"/>
      <c r="BB221" s="36"/>
      <c r="BC221" s="36"/>
      <c r="BD221" s="36"/>
      <c r="BE221" s="36"/>
      <c r="BF221" s="36"/>
      <c r="BG221" s="36"/>
      <c r="BH221" s="36"/>
      <c r="BI221" s="36"/>
      <c r="BJ221" s="36"/>
      <c r="BK221" s="36"/>
      <c r="BL221" s="36"/>
      <c r="BM221" s="36"/>
      <c r="BN221" s="36"/>
      <c r="BO221" s="36"/>
      <c r="BP221" s="36"/>
      <c r="BQ221" s="36"/>
      <c r="BR221" s="36"/>
      <c r="BS221" s="36"/>
      <c r="BT221" s="36"/>
      <c r="BU221" s="36"/>
      <c r="BV221" s="36"/>
      <c r="BW221" s="36"/>
      <c r="BX221" s="36"/>
      <c r="BY221" s="36"/>
    </row>
    <row r="222" spans="1:77" x14ac:dyDescent="0.35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  <c r="AU222" s="36"/>
      <c r="AV222" s="36"/>
      <c r="AW222" s="36"/>
      <c r="AX222" s="36"/>
      <c r="AY222" s="36"/>
      <c r="AZ222" s="36"/>
      <c r="BA222" s="36"/>
      <c r="BB222" s="36"/>
      <c r="BC222" s="36"/>
      <c r="BD222" s="36"/>
      <c r="BE222" s="36"/>
      <c r="BF222" s="36"/>
      <c r="BG222" s="36"/>
      <c r="BH222" s="36"/>
      <c r="BI222" s="36"/>
      <c r="BJ222" s="36"/>
      <c r="BK222" s="36"/>
      <c r="BL222" s="36"/>
      <c r="BM222" s="36"/>
      <c r="BN222" s="36"/>
      <c r="BO222" s="36"/>
      <c r="BP222" s="36"/>
      <c r="BQ222" s="36"/>
      <c r="BR222" s="36"/>
      <c r="BS222" s="36"/>
      <c r="BT222" s="36"/>
      <c r="BU222" s="36"/>
      <c r="BV222" s="36"/>
      <c r="BW222" s="36"/>
      <c r="BX222" s="36"/>
      <c r="BY222" s="36"/>
    </row>
    <row r="223" spans="1:77" x14ac:dyDescent="0.35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  <c r="BO223" s="36"/>
      <c r="BP223" s="36"/>
      <c r="BQ223" s="36"/>
      <c r="BR223" s="36"/>
      <c r="BS223" s="36"/>
      <c r="BT223" s="36"/>
      <c r="BU223" s="36"/>
      <c r="BV223" s="36"/>
      <c r="BW223" s="36"/>
      <c r="BX223" s="36"/>
      <c r="BY223" s="36"/>
    </row>
    <row r="224" spans="1:77" x14ac:dyDescent="0.35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  <c r="AU224" s="36"/>
      <c r="AV224" s="36"/>
      <c r="AW224" s="36"/>
      <c r="AX224" s="36"/>
      <c r="AY224" s="36"/>
      <c r="AZ224" s="36"/>
      <c r="BA224" s="36"/>
      <c r="BB224" s="36"/>
      <c r="BC224" s="36"/>
      <c r="BD224" s="36"/>
      <c r="BE224" s="36"/>
      <c r="BF224" s="36"/>
      <c r="BG224" s="36"/>
      <c r="BH224" s="36"/>
      <c r="BI224" s="36"/>
      <c r="BJ224" s="36"/>
      <c r="BK224" s="36"/>
      <c r="BL224" s="36"/>
      <c r="BM224" s="36"/>
      <c r="BN224" s="36"/>
      <c r="BO224" s="36"/>
      <c r="BP224" s="36"/>
      <c r="BQ224" s="36"/>
      <c r="BR224" s="36"/>
      <c r="BS224" s="36"/>
      <c r="BT224" s="36"/>
      <c r="BU224" s="36"/>
      <c r="BV224" s="36"/>
      <c r="BW224" s="36"/>
      <c r="BX224" s="36"/>
      <c r="BY224" s="36"/>
    </row>
    <row r="225" spans="1:77" x14ac:dyDescent="0.35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  <c r="AU225" s="36"/>
      <c r="AV225" s="36"/>
      <c r="AW225" s="36"/>
      <c r="AX225" s="36"/>
      <c r="AY225" s="36"/>
      <c r="AZ225" s="36"/>
      <c r="BA225" s="36"/>
      <c r="BB225" s="36"/>
      <c r="BC225" s="36"/>
      <c r="BD225" s="36"/>
      <c r="BE225" s="36"/>
      <c r="BF225" s="36"/>
      <c r="BG225" s="36"/>
      <c r="BH225" s="36"/>
      <c r="BI225" s="36"/>
      <c r="BJ225" s="36"/>
      <c r="BK225" s="36"/>
      <c r="BL225" s="36"/>
      <c r="BM225" s="36"/>
      <c r="BN225" s="36"/>
      <c r="BO225" s="36"/>
      <c r="BP225" s="36"/>
      <c r="BQ225" s="36"/>
      <c r="BR225" s="36"/>
      <c r="BS225" s="36"/>
      <c r="BT225" s="36"/>
      <c r="BU225" s="36"/>
      <c r="BV225" s="36"/>
      <c r="BW225" s="36"/>
      <c r="BX225" s="36"/>
      <c r="BY225" s="36"/>
    </row>
    <row r="226" spans="1:77" x14ac:dyDescent="0.35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  <c r="AU226" s="36"/>
      <c r="AV226" s="36"/>
      <c r="AW226" s="36"/>
      <c r="AX226" s="36"/>
      <c r="AY226" s="36"/>
      <c r="AZ226" s="36"/>
      <c r="BA226" s="36"/>
      <c r="BB226" s="36"/>
      <c r="BC226" s="36"/>
      <c r="BD226" s="36"/>
      <c r="BE226" s="36"/>
      <c r="BF226" s="36"/>
      <c r="BG226" s="36"/>
      <c r="BH226" s="36"/>
      <c r="BI226" s="36"/>
      <c r="BJ226" s="36"/>
      <c r="BK226" s="36"/>
      <c r="BL226" s="36"/>
      <c r="BM226" s="36"/>
      <c r="BN226" s="36"/>
      <c r="BO226" s="36"/>
      <c r="BP226" s="36"/>
      <c r="BQ226" s="36"/>
      <c r="BR226" s="36"/>
      <c r="BS226" s="36"/>
      <c r="BT226" s="36"/>
      <c r="BU226" s="36"/>
      <c r="BV226" s="36"/>
      <c r="BW226" s="36"/>
      <c r="BX226" s="36"/>
      <c r="BY226" s="36"/>
    </row>
    <row r="227" spans="1:77" x14ac:dyDescent="0.35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  <c r="AU227" s="36"/>
      <c r="AV227" s="36"/>
      <c r="AW227" s="36"/>
      <c r="AX227" s="36"/>
      <c r="AY227" s="36"/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36"/>
      <c r="BL227" s="36"/>
      <c r="BM227" s="36"/>
      <c r="BN227" s="36"/>
      <c r="BO227" s="36"/>
      <c r="BP227" s="36"/>
      <c r="BQ227" s="36"/>
      <c r="BR227" s="36"/>
      <c r="BS227" s="36"/>
      <c r="BT227" s="36"/>
      <c r="BU227" s="36"/>
      <c r="BV227" s="36"/>
      <c r="BW227" s="36"/>
      <c r="BX227" s="36"/>
      <c r="BY227" s="36"/>
    </row>
    <row r="228" spans="1:77" x14ac:dyDescent="0.35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  <c r="AU228" s="36"/>
      <c r="AV228" s="36"/>
      <c r="AW228" s="36"/>
      <c r="AX228" s="36"/>
      <c r="AY228" s="36"/>
      <c r="AZ228" s="36"/>
      <c r="BA228" s="36"/>
      <c r="BB228" s="36"/>
      <c r="BC228" s="36"/>
      <c r="BD228" s="36"/>
      <c r="BE228" s="36"/>
      <c r="BF228" s="36"/>
      <c r="BG228" s="36"/>
      <c r="BH228" s="36"/>
      <c r="BI228" s="36"/>
      <c r="BJ228" s="36"/>
      <c r="BK228" s="36"/>
      <c r="BL228" s="36"/>
      <c r="BM228" s="36"/>
      <c r="BN228" s="36"/>
      <c r="BO228" s="36"/>
      <c r="BP228" s="36"/>
      <c r="BQ228" s="36"/>
      <c r="BR228" s="36"/>
      <c r="BS228" s="36"/>
      <c r="BT228" s="36"/>
      <c r="BU228" s="36"/>
      <c r="BV228" s="36"/>
      <c r="BW228" s="36"/>
      <c r="BX228" s="36"/>
      <c r="BY228" s="36"/>
    </row>
    <row r="229" spans="1:77" x14ac:dyDescent="0.35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/>
      <c r="AX229" s="36"/>
      <c r="AY229" s="36"/>
      <c r="AZ229" s="36"/>
      <c r="BA229" s="36"/>
      <c r="BB229" s="36"/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  <c r="BM229" s="36"/>
      <c r="BN229" s="36"/>
      <c r="BO229" s="36"/>
      <c r="BP229" s="36"/>
      <c r="BQ229" s="36"/>
      <c r="BR229" s="36"/>
      <c r="BS229" s="36"/>
      <c r="BT229" s="36"/>
      <c r="BU229" s="36"/>
      <c r="BV229" s="36"/>
      <c r="BW229" s="36"/>
      <c r="BX229" s="36"/>
      <c r="BY229" s="36"/>
    </row>
    <row r="230" spans="1:77" x14ac:dyDescent="0.35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6"/>
      <c r="AX230" s="36"/>
      <c r="AY230" s="36"/>
      <c r="AZ230" s="36"/>
      <c r="BA230" s="36"/>
      <c r="BB230" s="36"/>
      <c r="BC230" s="36"/>
      <c r="BD230" s="36"/>
      <c r="BE230" s="36"/>
      <c r="BF230" s="36"/>
      <c r="BG230" s="36"/>
      <c r="BH230" s="36"/>
      <c r="BI230" s="36"/>
      <c r="BJ230" s="36"/>
      <c r="BK230" s="36"/>
      <c r="BL230" s="36"/>
      <c r="BM230" s="36"/>
      <c r="BN230" s="36"/>
      <c r="BO230" s="36"/>
      <c r="BP230" s="36"/>
      <c r="BQ230" s="36"/>
      <c r="BR230" s="36"/>
      <c r="BS230" s="36"/>
      <c r="BT230" s="36"/>
      <c r="BU230" s="36"/>
      <c r="BV230" s="36"/>
      <c r="BW230" s="36"/>
      <c r="BX230" s="36"/>
      <c r="BY230" s="36"/>
    </row>
    <row r="231" spans="1:77" x14ac:dyDescent="0.35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  <c r="AU231" s="36"/>
      <c r="AV231" s="36"/>
      <c r="AW231" s="36"/>
      <c r="AX231" s="36"/>
      <c r="AY231" s="36"/>
      <c r="AZ231" s="36"/>
      <c r="BA231" s="36"/>
      <c r="BB231" s="36"/>
      <c r="BC231" s="36"/>
      <c r="BD231" s="36"/>
      <c r="BE231" s="36"/>
      <c r="BF231" s="36"/>
      <c r="BG231" s="36"/>
      <c r="BH231" s="36"/>
      <c r="BI231" s="36"/>
      <c r="BJ231" s="36"/>
      <c r="BK231" s="36"/>
      <c r="BL231" s="36"/>
      <c r="BM231" s="36"/>
      <c r="BN231" s="36"/>
      <c r="BO231" s="36"/>
      <c r="BP231" s="36"/>
      <c r="BQ231" s="36"/>
      <c r="BR231" s="36"/>
      <c r="BS231" s="36"/>
      <c r="BT231" s="36"/>
      <c r="BU231" s="36"/>
      <c r="BV231" s="36"/>
      <c r="BW231" s="36"/>
      <c r="BX231" s="36"/>
      <c r="BY231" s="36"/>
    </row>
    <row r="232" spans="1:77" x14ac:dyDescent="0.35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  <c r="AU232" s="36"/>
      <c r="AV232" s="36"/>
      <c r="AW232" s="36"/>
      <c r="AX232" s="36"/>
      <c r="AY232" s="36"/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36"/>
      <c r="BL232" s="36"/>
      <c r="BM232" s="36"/>
      <c r="BN232" s="36"/>
      <c r="BO232" s="36"/>
      <c r="BP232" s="36"/>
      <c r="BQ232" s="36"/>
      <c r="BR232" s="36"/>
      <c r="BS232" s="36"/>
      <c r="BT232" s="36"/>
      <c r="BU232" s="36"/>
      <c r="BV232" s="36"/>
      <c r="BW232" s="36"/>
      <c r="BX232" s="36"/>
      <c r="BY232" s="36"/>
    </row>
    <row r="233" spans="1:77" x14ac:dyDescent="0.35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  <c r="AU233" s="36"/>
      <c r="AV233" s="36"/>
      <c r="AW233" s="36"/>
      <c r="AX233" s="36"/>
      <c r="AY233" s="36"/>
      <c r="AZ233" s="36"/>
      <c r="BA233" s="36"/>
      <c r="BB233" s="36"/>
      <c r="BC233" s="36"/>
      <c r="BD233" s="36"/>
      <c r="BE233" s="36"/>
      <c r="BF233" s="36"/>
      <c r="BG233" s="36"/>
      <c r="BH233" s="36"/>
      <c r="BI233" s="36"/>
      <c r="BJ233" s="36"/>
      <c r="BK233" s="36"/>
      <c r="BL233" s="36"/>
      <c r="BM233" s="36"/>
      <c r="BN233" s="36"/>
      <c r="BO233" s="36"/>
      <c r="BP233" s="36"/>
      <c r="BQ233" s="36"/>
      <c r="BR233" s="36"/>
      <c r="BS233" s="36"/>
      <c r="BT233" s="36"/>
      <c r="BU233" s="36"/>
      <c r="BV233" s="36"/>
      <c r="BW233" s="36"/>
      <c r="BX233" s="36"/>
      <c r="BY233" s="36"/>
    </row>
    <row r="234" spans="1:77" x14ac:dyDescent="0.35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36"/>
      <c r="BB234" s="36"/>
      <c r="BC234" s="36"/>
      <c r="BD234" s="36"/>
      <c r="BE234" s="36"/>
      <c r="BF234" s="36"/>
      <c r="BG234" s="36"/>
      <c r="BH234" s="36"/>
      <c r="BI234" s="36"/>
      <c r="BJ234" s="36"/>
      <c r="BK234" s="36"/>
      <c r="BL234" s="36"/>
      <c r="BM234" s="36"/>
      <c r="BN234" s="36"/>
      <c r="BO234" s="36"/>
      <c r="BP234" s="36"/>
      <c r="BQ234" s="36"/>
      <c r="BR234" s="36"/>
      <c r="BS234" s="36"/>
      <c r="BT234" s="36"/>
      <c r="BU234" s="36"/>
      <c r="BV234" s="36"/>
      <c r="BW234" s="36"/>
      <c r="BX234" s="36"/>
      <c r="BY234" s="36"/>
    </row>
    <row r="235" spans="1:77" x14ac:dyDescent="0.35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  <c r="AU235" s="36"/>
      <c r="AV235" s="36"/>
      <c r="AW235" s="36"/>
      <c r="AX235" s="36"/>
      <c r="AY235" s="36"/>
      <c r="AZ235" s="36"/>
      <c r="BA235" s="36"/>
      <c r="BB235" s="36"/>
      <c r="BC235" s="36"/>
      <c r="BD235" s="36"/>
      <c r="BE235" s="36"/>
      <c r="BF235" s="36"/>
      <c r="BG235" s="36"/>
      <c r="BH235" s="36"/>
      <c r="BI235" s="36"/>
      <c r="BJ235" s="36"/>
      <c r="BK235" s="36"/>
      <c r="BL235" s="36"/>
      <c r="BM235" s="36"/>
      <c r="BN235" s="36"/>
      <c r="BO235" s="36"/>
      <c r="BP235" s="36"/>
      <c r="BQ235" s="36"/>
      <c r="BR235" s="36"/>
      <c r="BS235" s="36"/>
      <c r="BT235" s="36"/>
      <c r="BU235" s="36"/>
      <c r="BV235" s="36"/>
      <c r="BW235" s="36"/>
      <c r="BX235" s="36"/>
      <c r="BY235" s="36"/>
    </row>
    <row r="236" spans="1:77" x14ac:dyDescent="0.35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  <c r="BM236" s="36"/>
      <c r="BN236" s="36"/>
      <c r="BO236" s="36"/>
      <c r="BP236" s="36"/>
      <c r="BQ236" s="36"/>
      <c r="BR236" s="36"/>
      <c r="BS236" s="36"/>
      <c r="BT236" s="36"/>
      <c r="BU236" s="36"/>
      <c r="BV236" s="36"/>
      <c r="BW236" s="36"/>
      <c r="BX236" s="36"/>
      <c r="BY236" s="36"/>
    </row>
    <row r="237" spans="1:77" x14ac:dyDescent="0.35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36"/>
      <c r="AY237" s="36"/>
      <c r="AZ237" s="36"/>
      <c r="BA237" s="36"/>
      <c r="BB237" s="36"/>
      <c r="BC237" s="36"/>
      <c r="BD237" s="36"/>
      <c r="BE237" s="36"/>
      <c r="BF237" s="36"/>
      <c r="BG237" s="36"/>
      <c r="BH237" s="36"/>
      <c r="BI237" s="36"/>
      <c r="BJ237" s="36"/>
      <c r="BK237" s="36"/>
      <c r="BL237" s="36"/>
      <c r="BM237" s="36"/>
      <c r="BN237" s="36"/>
      <c r="BO237" s="36"/>
      <c r="BP237" s="36"/>
      <c r="BQ237" s="36"/>
      <c r="BR237" s="36"/>
      <c r="BS237" s="36"/>
      <c r="BT237" s="36"/>
      <c r="BU237" s="36"/>
      <c r="BV237" s="36"/>
      <c r="BW237" s="36"/>
      <c r="BX237" s="36"/>
      <c r="BY237" s="36"/>
    </row>
    <row r="238" spans="1:77" x14ac:dyDescent="0.35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  <c r="AU238" s="36"/>
      <c r="AV238" s="36"/>
      <c r="AW238" s="36"/>
      <c r="AX238" s="36"/>
      <c r="AY238" s="36"/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36"/>
      <c r="BL238" s="36"/>
      <c r="BM238" s="36"/>
      <c r="BN238" s="36"/>
      <c r="BO238" s="36"/>
      <c r="BP238" s="36"/>
      <c r="BQ238" s="36"/>
      <c r="BR238" s="36"/>
      <c r="BS238" s="36"/>
      <c r="BT238" s="36"/>
      <c r="BU238" s="36"/>
      <c r="BV238" s="36"/>
      <c r="BW238" s="36"/>
      <c r="BX238" s="36"/>
      <c r="BY238" s="36"/>
    </row>
    <row r="239" spans="1:77" x14ac:dyDescent="0.35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  <c r="AU239" s="36"/>
      <c r="AV239" s="36"/>
      <c r="AW239" s="36"/>
      <c r="AX239" s="36"/>
      <c r="AY239" s="36"/>
      <c r="AZ239" s="36"/>
      <c r="BA239" s="36"/>
      <c r="BB239" s="36"/>
      <c r="BC239" s="36"/>
      <c r="BD239" s="36"/>
      <c r="BE239" s="36"/>
      <c r="BF239" s="36"/>
      <c r="BG239" s="36"/>
      <c r="BH239" s="36"/>
      <c r="BI239" s="36"/>
      <c r="BJ239" s="36"/>
      <c r="BK239" s="36"/>
      <c r="BL239" s="36"/>
      <c r="BM239" s="36"/>
      <c r="BN239" s="36"/>
      <c r="BO239" s="36"/>
      <c r="BP239" s="36"/>
      <c r="BQ239" s="36"/>
      <c r="BR239" s="36"/>
      <c r="BS239" s="36"/>
      <c r="BT239" s="36"/>
      <c r="BU239" s="36"/>
      <c r="BV239" s="36"/>
      <c r="BW239" s="36"/>
      <c r="BX239" s="36"/>
      <c r="BY239" s="36"/>
    </row>
    <row r="240" spans="1:77" x14ac:dyDescent="0.35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  <c r="AU240" s="36"/>
      <c r="AV240" s="36"/>
      <c r="AW240" s="36"/>
      <c r="AX240" s="36"/>
      <c r="AY240" s="36"/>
      <c r="AZ240" s="36"/>
      <c r="BA240" s="36"/>
      <c r="BB240" s="36"/>
      <c r="BC240" s="36"/>
      <c r="BD240" s="36"/>
      <c r="BE240" s="36"/>
      <c r="BF240" s="36"/>
      <c r="BG240" s="36"/>
      <c r="BH240" s="36"/>
      <c r="BI240" s="36"/>
      <c r="BJ240" s="36"/>
      <c r="BK240" s="36"/>
      <c r="BL240" s="36"/>
      <c r="BM240" s="36"/>
      <c r="BN240" s="36"/>
      <c r="BO240" s="36"/>
      <c r="BP240" s="36"/>
      <c r="BQ240" s="36"/>
      <c r="BR240" s="36"/>
      <c r="BS240" s="36"/>
      <c r="BT240" s="36"/>
      <c r="BU240" s="36"/>
      <c r="BV240" s="36"/>
      <c r="BW240" s="36"/>
      <c r="BX240" s="36"/>
      <c r="BY240" s="36"/>
    </row>
    <row r="241" spans="1:77" x14ac:dyDescent="0.35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  <c r="AU241" s="36"/>
      <c r="AV241" s="36"/>
      <c r="AW241" s="36"/>
      <c r="AX241" s="36"/>
      <c r="AY241" s="36"/>
      <c r="AZ241" s="36"/>
      <c r="BA241" s="36"/>
      <c r="BB241" s="36"/>
      <c r="BC241" s="36"/>
      <c r="BD241" s="36"/>
      <c r="BE241" s="36"/>
      <c r="BF241" s="36"/>
      <c r="BG241" s="36"/>
      <c r="BH241" s="36"/>
      <c r="BI241" s="36"/>
      <c r="BJ241" s="36"/>
      <c r="BK241" s="36"/>
      <c r="BL241" s="36"/>
      <c r="BM241" s="36"/>
      <c r="BN241" s="36"/>
      <c r="BO241" s="36"/>
      <c r="BP241" s="36"/>
      <c r="BQ241" s="36"/>
      <c r="BR241" s="36"/>
      <c r="BS241" s="36"/>
      <c r="BT241" s="36"/>
      <c r="BU241" s="36"/>
      <c r="BV241" s="36"/>
      <c r="BW241" s="36"/>
      <c r="BX241" s="36"/>
      <c r="BY241" s="36"/>
    </row>
    <row r="242" spans="1:77" x14ac:dyDescent="0.35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  <c r="AU242" s="36"/>
      <c r="AV242" s="36"/>
      <c r="AW242" s="36"/>
      <c r="AX242" s="36"/>
      <c r="AY242" s="36"/>
      <c r="AZ242" s="36"/>
      <c r="BA242" s="36"/>
      <c r="BB242" s="36"/>
      <c r="BC242" s="36"/>
      <c r="BD242" s="36"/>
      <c r="BE242" s="36"/>
      <c r="BF242" s="36"/>
      <c r="BG242" s="36"/>
      <c r="BH242" s="36"/>
      <c r="BI242" s="36"/>
      <c r="BJ242" s="36"/>
      <c r="BK242" s="36"/>
      <c r="BL242" s="36"/>
      <c r="BM242" s="36"/>
      <c r="BN242" s="36"/>
      <c r="BO242" s="36"/>
      <c r="BP242" s="36"/>
      <c r="BQ242" s="36"/>
      <c r="BR242" s="36"/>
      <c r="BS242" s="36"/>
      <c r="BT242" s="36"/>
      <c r="BU242" s="36"/>
      <c r="BV242" s="36"/>
      <c r="BW242" s="36"/>
      <c r="BX242" s="36"/>
      <c r="BY242" s="36"/>
    </row>
    <row r="243" spans="1:77" x14ac:dyDescent="0.35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6"/>
      <c r="AX243" s="36"/>
      <c r="AY243" s="36"/>
      <c r="AZ243" s="36"/>
      <c r="BA243" s="36"/>
      <c r="BB243" s="36"/>
      <c r="BC243" s="36"/>
      <c r="BD243" s="36"/>
      <c r="BE243" s="36"/>
      <c r="BF243" s="36"/>
      <c r="BG243" s="36"/>
      <c r="BH243" s="36"/>
      <c r="BI243" s="36"/>
      <c r="BJ243" s="36"/>
      <c r="BK243" s="36"/>
      <c r="BL243" s="36"/>
      <c r="BM243" s="36"/>
      <c r="BN243" s="36"/>
      <c r="BO243" s="36"/>
      <c r="BP243" s="36"/>
      <c r="BQ243" s="36"/>
      <c r="BR243" s="36"/>
      <c r="BS243" s="36"/>
      <c r="BT243" s="36"/>
      <c r="BU243" s="36"/>
      <c r="BV243" s="36"/>
      <c r="BW243" s="36"/>
      <c r="BX243" s="36"/>
      <c r="BY243" s="36"/>
    </row>
    <row r="244" spans="1:77" x14ac:dyDescent="0.35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  <c r="AU244" s="36"/>
      <c r="AV244" s="36"/>
      <c r="AW244" s="36"/>
      <c r="AX244" s="36"/>
      <c r="AY244" s="36"/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36"/>
      <c r="BL244" s="36"/>
      <c r="BM244" s="36"/>
      <c r="BN244" s="36"/>
      <c r="BO244" s="36"/>
      <c r="BP244" s="36"/>
      <c r="BQ244" s="36"/>
      <c r="BR244" s="36"/>
      <c r="BS244" s="36"/>
      <c r="BT244" s="36"/>
      <c r="BU244" s="36"/>
      <c r="BV244" s="36"/>
      <c r="BW244" s="36"/>
      <c r="BX244" s="36"/>
      <c r="BY244" s="36"/>
    </row>
    <row r="245" spans="1:77" x14ac:dyDescent="0.35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  <c r="AU245" s="36"/>
      <c r="AV245" s="36"/>
      <c r="AW245" s="36"/>
      <c r="AX245" s="36"/>
      <c r="AY245" s="36"/>
      <c r="AZ245" s="36"/>
      <c r="BA245" s="36"/>
      <c r="BB245" s="36"/>
      <c r="BC245" s="36"/>
      <c r="BD245" s="36"/>
      <c r="BE245" s="36"/>
      <c r="BF245" s="36"/>
      <c r="BG245" s="36"/>
      <c r="BH245" s="36"/>
      <c r="BI245" s="36"/>
      <c r="BJ245" s="36"/>
      <c r="BK245" s="36"/>
      <c r="BL245" s="36"/>
      <c r="BM245" s="36"/>
      <c r="BN245" s="36"/>
      <c r="BO245" s="36"/>
      <c r="BP245" s="36"/>
      <c r="BQ245" s="36"/>
      <c r="BR245" s="36"/>
      <c r="BS245" s="36"/>
      <c r="BT245" s="36"/>
      <c r="BU245" s="36"/>
      <c r="BV245" s="36"/>
      <c r="BW245" s="36"/>
      <c r="BX245" s="36"/>
      <c r="BY245" s="36"/>
    </row>
    <row r="246" spans="1:77" x14ac:dyDescent="0.35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  <c r="AU246" s="36"/>
      <c r="AV246" s="36"/>
      <c r="AW246" s="36"/>
      <c r="AX246" s="36"/>
      <c r="AY246" s="36"/>
      <c r="AZ246" s="36"/>
      <c r="BA246" s="36"/>
      <c r="BB246" s="36"/>
      <c r="BC246" s="36"/>
      <c r="BD246" s="36"/>
      <c r="BE246" s="36"/>
      <c r="BF246" s="36"/>
      <c r="BG246" s="36"/>
      <c r="BH246" s="36"/>
      <c r="BI246" s="36"/>
      <c r="BJ246" s="36"/>
      <c r="BK246" s="36"/>
      <c r="BL246" s="36"/>
      <c r="BM246" s="36"/>
      <c r="BN246" s="36"/>
      <c r="BO246" s="36"/>
      <c r="BP246" s="36"/>
      <c r="BQ246" s="36"/>
      <c r="BR246" s="36"/>
      <c r="BS246" s="36"/>
      <c r="BT246" s="36"/>
      <c r="BU246" s="36"/>
      <c r="BV246" s="36"/>
      <c r="BW246" s="36"/>
      <c r="BX246" s="36"/>
      <c r="BY246" s="36"/>
    </row>
    <row r="247" spans="1:77" x14ac:dyDescent="0.35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  <c r="AU247" s="36"/>
      <c r="AV247" s="36"/>
      <c r="AW247" s="36"/>
      <c r="AX247" s="36"/>
      <c r="AY247" s="36"/>
      <c r="AZ247" s="36"/>
      <c r="BA247" s="36"/>
      <c r="BB247" s="36"/>
      <c r="BC247" s="36"/>
      <c r="BD247" s="36"/>
      <c r="BE247" s="36"/>
      <c r="BF247" s="36"/>
      <c r="BG247" s="36"/>
      <c r="BH247" s="36"/>
      <c r="BI247" s="36"/>
      <c r="BJ247" s="36"/>
      <c r="BK247" s="36"/>
      <c r="BL247" s="36"/>
      <c r="BM247" s="36"/>
      <c r="BN247" s="36"/>
      <c r="BO247" s="36"/>
      <c r="BP247" s="36"/>
      <c r="BQ247" s="36"/>
      <c r="BR247" s="36"/>
      <c r="BS247" s="36"/>
      <c r="BT247" s="36"/>
      <c r="BU247" s="36"/>
      <c r="BV247" s="36"/>
      <c r="BW247" s="36"/>
      <c r="BX247" s="36"/>
      <c r="BY247" s="36"/>
    </row>
    <row r="248" spans="1:77" x14ac:dyDescent="0.35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  <c r="AU248" s="36"/>
      <c r="AV248" s="36"/>
      <c r="AW248" s="36"/>
      <c r="AX248" s="36"/>
      <c r="AY248" s="36"/>
      <c r="AZ248" s="36"/>
      <c r="BA248" s="36"/>
      <c r="BB248" s="36"/>
      <c r="BC248" s="36"/>
      <c r="BD248" s="36"/>
      <c r="BE248" s="36"/>
      <c r="BF248" s="36"/>
      <c r="BG248" s="36"/>
      <c r="BH248" s="36"/>
      <c r="BI248" s="36"/>
      <c r="BJ248" s="36"/>
      <c r="BK248" s="36"/>
      <c r="BL248" s="36"/>
      <c r="BM248" s="36"/>
      <c r="BN248" s="36"/>
      <c r="BO248" s="36"/>
      <c r="BP248" s="36"/>
      <c r="BQ248" s="36"/>
      <c r="BR248" s="36"/>
      <c r="BS248" s="36"/>
      <c r="BT248" s="36"/>
      <c r="BU248" s="36"/>
      <c r="BV248" s="36"/>
      <c r="BW248" s="36"/>
      <c r="BX248" s="36"/>
      <c r="BY248" s="36"/>
    </row>
    <row r="249" spans="1:77" x14ac:dyDescent="0.35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  <c r="AU249" s="36"/>
      <c r="AV249" s="36"/>
      <c r="AW249" s="36"/>
      <c r="AX249" s="36"/>
      <c r="AY249" s="36"/>
      <c r="AZ249" s="36"/>
      <c r="BA249" s="36"/>
      <c r="BB249" s="36"/>
      <c r="BC249" s="36"/>
      <c r="BD249" s="36"/>
      <c r="BE249" s="36"/>
      <c r="BF249" s="36"/>
      <c r="BG249" s="36"/>
      <c r="BH249" s="36"/>
      <c r="BI249" s="36"/>
      <c r="BJ249" s="36"/>
      <c r="BK249" s="36"/>
      <c r="BL249" s="36"/>
      <c r="BM249" s="36"/>
      <c r="BN249" s="36"/>
      <c r="BO249" s="36"/>
      <c r="BP249" s="36"/>
      <c r="BQ249" s="36"/>
      <c r="BR249" s="36"/>
      <c r="BS249" s="36"/>
      <c r="BT249" s="36"/>
      <c r="BU249" s="36"/>
      <c r="BV249" s="36"/>
      <c r="BW249" s="36"/>
      <c r="BX249" s="36"/>
      <c r="BY249" s="36"/>
    </row>
    <row r="250" spans="1:77" x14ac:dyDescent="0.35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  <c r="AW250" s="36"/>
      <c r="AX250" s="36"/>
      <c r="AY250" s="36"/>
      <c r="AZ250" s="36"/>
      <c r="BA250" s="36"/>
      <c r="BB250" s="36"/>
      <c r="BC250" s="36"/>
      <c r="BD250" s="36"/>
      <c r="BE250" s="36"/>
      <c r="BF250" s="36"/>
      <c r="BG250" s="36"/>
      <c r="BH250" s="36"/>
      <c r="BI250" s="36"/>
      <c r="BJ250" s="36"/>
      <c r="BK250" s="36"/>
      <c r="BL250" s="36"/>
      <c r="BM250" s="36"/>
      <c r="BN250" s="36"/>
      <c r="BO250" s="36"/>
      <c r="BP250" s="36"/>
      <c r="BQ250" s="36"/>
      <c r="BR250" s="36"/>
      <c r="BS250" s="36"/>
      <c r="BT250" s="36"/>
      <c r="BU250" s="36"/>
      <c r="BV250" s="36"/>
      <c r="BW250" s="36"/>
      <c r="BX250" s="36"/>
      <c r="BY250" s="36"/>
    </row>
    <row r="251" spans="1:77" x14ac:dyDescent="0.35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6"/>
      <c r="AX251" s="36"/>
      <c r="AY251" s="36"/>
      <c r="AZ251" s="36"/>
      <c r="BA251" s="36"/>
      <c r="BB251" s="36"/>
      <c r="BC251" s="36"/>
      <c r="BD251" s="36"/>
      <c r="BE251" s="36"/>
      <c r="BF251" s="36"/>
      <c r="BG251" s="36"/>
      <c r="BH251" s="36"/>
      <c r="BI251" s="36"/>
      <c r="BJ251" s="36"/>
      <c r="BK251" s="36"/>
      <c r="BL251" s="36"/>
      <c r="BM251" s="36"/>
      <c r="BN251" s="36"/>
      <c r="BO251" s="36"/>
      <c r="BP251" s="36"/>
      <c r="BQ251" s="36"/>
      <c r="BR251" s="36"/>
      <c r="BS251" s="36"/>
      <c r="BT251" s="36"/>
      <c r="BU251" s="36"/>
      <c r="BV251" s="36"/>
      <c r="BW251" s="36"/>
      <c r="BX251" s="36"/>
      <c r="BY251" s="36"/>
    </row>
    <row r="252" spans="1:77" x14ac:dyDescent="0.35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  <c r="AU252" s="36"/>
      <c r="AV252" s="36"/>
      <c r="AW252" s="36"/>
      <c r="AX252" s="36"/>
      <c r="AY252" s="36"/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36"/>
      <c r="BL252" s="36"/>
      <c r="BM252" s="36"/>
      <c r="BN252" s="36"/>
      <c r="BO252" s="36"/>
      <c r="BP252" s="36"/>
      <c r="BQ252" s="36"/>
      <c r="BR252" s="36"/>
      <c r="BS252" s="36"/>
      <c r="BT252" s="36"/>
      <c r="BU252" s="36"/>
      <c r="BV252" s="36"/>
      <c r="BW252" s="36"/>
      <c r="BX252" s="36"/>
      <c r="BY252" s="36"/>
    </row>
    <row r="253" spans="1:77" x14ac:dyDescent="0.35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  <c r="AU253" s="36"/>
      <c r="AV253" s="36"/>
      <c r="AW253" s="36"/>
      <c r="AX253" s="36"/>
      <c r="AY253" s="36"/>
      <c r="AZ253" s="36"/>
      <c r="BA253" s="36"/>
      <c r="BB253" s="36"/>
      <c r="BC253" s="36"/>
      <c r="BD253" s="36"/>
      <c r="BE253" s="36"/>
      <c r="BF253" s="36"/>
      <c r="BG253" s="36"/>
      <c r="BH253" s="36"/>
      <c r="BI253" s="36"/>
      <c r="BJ253" s="36"/>
      <c r="BK253" s="36"/>
      <c r="BL253" s="36"/>
      <c r="BM253" s="36"/>
      <c r="BN253" s="36"/>
      <c r="BO253" s="36"/>
      <c r="BP253" s="36"/>
      <c r="BQ253" s="36"/>
      <c r="BR253" s="36"/>
      <c r="BS253" s="36"/>
      <c r="BT253" s="36"/>
      <c r="BU253" s="36"/>
      <c r="BV253" s="36"/>
      <c r="BW253" s="36"/>
      <c r="BX253" s="36"/>
      <c r="BY253" s="36"/>
    </row>
    <row r="254" spans="1:77" x14ac:dyDescent="0.35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36"/>
      <c r="AZ254" s="36"/>
      <c r="BA254" s="36"/>
      <c r="BB254" s="36"/>
      <c r="BC254" s="36"/>
      <c r="BD254" s="36"/>
      <c r="BE254" s="36"/>
      <c r="BF254" s="36"/>
      <c r="BG254" s="36"/>
      <c r="BH254" s="36"/>
      <c r="BI254" s="36"/>
      <c r="BJ254" s="36"/>
      <c r="BK254" s="36"/>
      <c r="BL254" s="36"/>
      <c r="BM254" s="36"/>
      <c r="BN254" s="36"/>
      <c r="BO254" s="36"/>
      <c r="BP254" s="36"/>
      <c r="BQ254" s="36"/>
      <c r="BR254" s="36"/>
      <c r="BS254" s="36"/>
      <c r="BT254" s="36"/>
      <c r="BU254" s="36"/>
      <c r="BV254" s="36"/>
      <c r="BW254" s="36"/>
      <c r="BX254" s="36"/>
      <c r="BY254" s="36"/>
    </row>
    <row r="255" spans="1:77" x14ac:dyDescent="0.35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  <c r="AU255" s="36"/>
      <c r="AV255" s="36"/>
      <c r="AW255" s="36"/>
      <c r="AX255" s="36"/>
      <c r="AY255" s="36"/>
      <c r="AZ255" s="36"/>
      <c r="BA255" s="36"/>
      <c r="BB255" s="36"/>
      <c r="BC255" s="36"/>
      <c r="BD255" s="36"/>
      <c r="BE255" s="36"/>
      <c r="BF255" s="36"/>
      <c r="BG255" s="36"/>
      <c r="BH255" s="36"/>
      <c r="BI255" s="36"/>
      <c r="BJ255" s="36"/>
      <c r="BK255" s="36"/>
      <c r="BL255" s="36"/>
      <c r="BM255" s="36"/>
      <c r="BN255" s="36"/>
      <c r="BO255" s="36"/>
      <c r="BP255" s="36"/>
      <c r="BQ255" s="36"/>
      <c r="BR255" s="36"/>
      <c r="BS255" s="36"/>
      <c r="BT255" s="36"/>
      <c r="BU255" s="36"/>
      <c r="BV255" s="36"/>
      <c r="BW255" s="36"/>
      <c r="BX255" s="36"/>
      <c r="BY255" s="36"/>
    </row>
    <row r="256" spans="1:77" x14ac:dyDescent="0.35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  <c r="AU256" s="36"/>
      <c r="AV256" s="36"/>
      <c r="AW256" s="36"/>
      <c r="AX256" s="36"/>
      <c r="AY256" s="36"/>
      <c r="AZ256" s="36"/>
      <c r="BA256" s="36"/>
      <c r="BB256" s="36"/>
      <c r="BC256" s="36"/>
      <c r="BD256" s="36"/>
      <c r="BE256" s="36"/>
      <c r="BF256" s="36"/>
      <c r="BG256" s="36"/>
      <c r="BH256" s="36"/>
      <c r="BI256" s="36"/>
      <c r="BJ256" s="36"/>
      <c r="BK256" s="36"/>
      <c r="BL256" s="36"/>
      <c r="BM256" s="36"/>
      <c r="BN256" s="36"/>
      <c r="BO256" s="36"/>
      <c r="BP256" s="36"/>
      <c r="BQ256" s="36"/>
      <c r="BR256" s="36"/>
      <c r="BS256" s="36"/>
      <c r="BT256" s="36"/>
      <c r="BU256" s="36"/>
      <c r="BV256" s="36"/>
      <c r="BW256" s="36"/>
      <c r="BX256" s="36"/>
      <c r="BY256" s="36"/>
    </row>
    <row r="257" spans="1:77" x14ac:dyDescent="0.35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  <c r="AU257" s="36"/>
      <c r="AV257" s="36"/>
      <c r="AW257" s="36"/>
      <c r="AX257" s="36"/>
      <c r="AY257" s="36"/>
      <c r="AZ257" s="36"/>
      <c r="BA257" s="36"/>
      <c r="BB257" s="36"/>
      <c r="BC257" s="36"/>
      <c r="BD257" s="36"/>
      <c r="BE257" s="36"/>
      <c r="BF257" s="36"/>
      <c r="BG257" s="36"/>
      <c r="BH257" s="36"/>
      <c r="BI257" s="36"/>
      <c r="BJ257" s="36"/>
      <c r="BK257" s="36"/>
      <c r="BL257" s="36"/>
      <c r="BM257" s="36"/>
      <c r="BN257" s="36"/>
      <c r="BO257" s="36"/>
      <c r="BP257" s="36"/>
      <c r="BQ257" s="36"/>
      <c r="BR257" s="36"/>
      <c r="BS257" s="36"/>
      <c r="BT257" s="36"/>
      <c r="BU257" s="36"/>
      <c r="BV257" s="36"/>
      <c r="BW257" s="36"/>
      <c r="BX257" s="36"/>
      <c r="BY257" s="36"/>
    </row>
    <row r="258" spans="1:77" x14ac:dyDescent="0.35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36"/>
      <c r="AZ258" s="36"/>
      <c r="BA258" s="36"/>
      <c r="BB258" s="36"/>
      <c r="BC258" s="36"/>
      <c r="BD258" s="36"/>
      <c r="BE258" s="36"/>
      <c r="BF258" s="36"/>
      <c r="BG258" s="36"/>
      <c r="BH258" s="36"/>
      <c r="BI258" s="36"/>
      <c r="BJ258" s="36"/>
      <c r="BK258" s="36"/>
      <c r="BL258" s="36"/>
      <c r="BM258" s="36"/>
      <c r="BN258" s="36"/>
      <c r="BO258" s="36"/>
      <c r="BP258" s="36"/>
      <c r="BQ258" s="36"/>
      <c r="BR258" s="36"/>
      <c r="BS258" s="36"/>
      <c r="BT258" s="36"/>
      <c r="BU258" s="36"/>
      <c r="BV258" s="36"/>
      <c r="BW258" s="36"/>
      <c r="BX258" s="36"/>
      <c r="BY258" s="36"/>
    </row>
    <row r="259" spans="1:77" x14ac:dyDescent="0.35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  <c r="AU259" s="36"/>
      <c r="AV259" s="36"/>
      <c r="AW259" s="36"/>
      <c r="AX259" s="36"/>
      <c r="AY259" s="36"/>
      <c r="AZ259" s="36"/>
      <c r="BA259" s="36"/>
      <c r="BB259" s="36"/>
      <c r="BC259" s="36"/>
      <c r="BD259" s="36"/>
      <c r="BE259" s="36"/>
      <c r="BF259" s="36"/>
      <c r="BG259" s="36"/>
      <c r="BH259" s="36"/>
      <c r="BI259" s="36"/>
      <c r="BJ259" s="36"/>
      <c r="BK259" s="36"/>
      <c r="BL259" s="36"/>
      <c r="BM259" s="36"/>
      <c r="BN259" s="36"/>
      <c r="BO259" s="36"/>
      <c r="BP259" s="36"/>
      <c r="BQ259" s="36"/>
      <c r="BR259" s="36"/>
      <c r="BS259" s="36"/>
      <c r="BT259" s="36"/>
      <c r="BU259" s="36"/>
      <c r="BV259" s="36"/>
      <c r="BW259" s="36"/>
      <c r="BX259" s="36"/>
      <c r="BY259" s="36"/>
    </row>
    <row r="260" spans="1:77" x14ac:dyDescent="0.35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  <c r="AU260" s="36"/>
      <c r="AV260" s="36"/>
      <c r="AW260" s="36"/>
      <c r="AX260" s="36"/>
      <c r="AY260" s="36"/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36"/>
      <c r="BL260" s="36"/>
      <c r="BM260" s="36"/>
      <c r="BN260" s="36"/>
      <c r="BO260" s="36"/>
      <c r="BP260" s="36"/>
      <c r="BQ260" s="36"/>
      <c r="BR260" s="36"/>
      <c r="BS260" s="36"/>
      <c r="BT260" s="36"/>
      <c r="BU260" s="36"/>
      <c r="BV260" s="36"/>
      <c r="BW260" s="36"/>
      <c r="BX260" s="36"/>
      <c r="BY260" s="36"/>
    </row>
    <row r="261" spans="1:77" x14ac:dyDescent="0.35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  <c r="AU261" s="36"/>
      <c r="AV261" s="36"/>
      <c r="AW261" s="36"/>
      <c r="AX261" s="36"/>
      <c r="AY261" s="36"/>
      <c r="AZ261" s="36"/>
      <c r="BA261" s="36"/>
      <c r="BB261" s="36"/>
      <c r="BC261" s="36"/>
      <c r="BD261" s="36"/>
      <c r="BE261" s="36"/>
      <c r="BF261" s="36"/>
      <c r="BG261" s="36"/>
      <c r="BH261" s="36"/>
      <c r="BI261" s="36"/>
      <c r="BJ261" s="36"/>
      <c r="BK261" s="36"/>
      <c r="BL261" s="36"/>
      <c r="BM261" s="36"/>
      <c r="BN261" s="36"/>
      <c r="BO261" s="36"/>
      <c r="BP261" s="36"/>
      <c r="BQ261" s="36"/>
      <c r="BR261" s="36"/>
      <c r="BS261" s="36"/>
      <c r="BT261" s="36"/>
      <c r="BU261" s="36"/>
      <c r="BV261" s="36"/>
      <c r="BW261" s="36"/>
      <c r="BX261" s="36"/>
      <c r="BY261" s="36"/>
    </row>
    <row r="262" spans="1:77" x14ac:dyDescent="0.35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  <c r="AU262" s="36"/>
      <c r="AV262" s="36"/>
      <c r="AW262" s="36"/>
      <c r="AX262" s="36"/>
      <c r="AY262" s="36"/>
      <c r="AZ262" s="36"/>
      <c r="BA262" s="36"/>
      <c r="BB262" s="36"/>
      <c r="BC262" s="36"/>
      <c r="BD262" s="36"/>
      <c r="BE262" s="36"/>
      <c r="BF262" s="36"/>
      <c r="BG262" s="36"/>
      <c r="BH262" s="36"/>
      <c r="BI262" s="36"/>
      <c r="BJ262" s="36"/>
      <c r="BK262" s="36"/>
      <c r="BL262" s="36"/>
      <c r="BM262" s="36"/>
      <c r="BN262" s="36"/>
      <c r="BO262" s="36"/>
      <c r="BP262" s="36"/>
      <c r="BQ262" s="36"/>
      <c r="BR262" s="36"/>
      <c r="BS262" s="36"/>
      <c r="BT262" s="36"/>
      <c r="BU262" s="36"/>
      <c r="BV262" s="36"/>
      <c r="BW262" s="36"/>
      <c r="BX262" s="36"/>
      <c r="BY262" s="36"/>
    </row>
    <row r="263" spans="1:77" x14ac:dyDescent="0.35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6"/>
      <c r="AX263" s="36"/>
      <c r="AY263" s="36"/>
      <c r="AZ263" s="36"/>
      <c r="BA263" s="36"/>
      <c r="BB263" s="36"/>
      <c r="BC263" s="36"/>
      <c r="BD263" s="36"/>
      <c r="BE263" s="36"/>
      <c r="BF263" s="36"/>
      <c r="BG263" s="36"/>
      <c r="BH263" s="36"/>
      <c r="BI263" s="36"/>
      <c r="BJ263" s="36"/>
      <c r="BK263" s="36"/>
      <c r="BL263" s="36"/>
      <c r="BM263" s="36"/>
      <c r="BN263" s="36"/>
      <c r="BO263" s="36"/>
      <c r="BP263" s="36"/>
      <c r="BQ263" s="36"/>
      <c r="BR263" s="36"/>
      <c r="BS263" s="36"/>
      <c r="BT263" s="36"/>
      <c r="BU263" s="36"/>
      <c r="BV263" s="36"/>
      <c r="BW263" s="36"/>
      <c r="BX263" s="36"/>
      <c r="BY263" s="36"/>
    </row>
    <row r="264" spans="1:77" x14ac:dyDescent="0.35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  <c r="AU264" s="36"/>
      <c r="AV264" s="36"/>
      <c r="AW264" s="36"/>
      <c r="AX264" s="36"/>
      <c r="AY264" s="36"/>
      <c r="AZ264" s="36"/>
      <c r="BA264" s="36"/>
      <c r="BB264" s="36"/>
      <c r="BC264" s="36"/>
      <c r="BD264" s="36"/>
      <c r="BE264" s="36"/>
      <c r="BF264" s="36"/>
      <c r="BG264" s="36"/>
      <c r="BH264" s="36"/>
      <c r="BI264" s="36"/>
      <c r="BJ264" s="36"/>
      <c r="BK264" s="36"/>
      <c r="BL264" s="36"/>
      <c r="BM264" s="36"/>
      <c r="BN264" s="36"/>
      <c r="BO264" s="36"/>
      <c r="BP264" s="36"/>
      <c r="BQ264" s="36"/>
      <c r="BR264" s="36"/>
      <c r="BS264" s="36"/>
      <c r="BT264" s="36"/>
      <c r="BU264" s="36"/>
      <c r="BV264" s="36"/>
      <c r="BW264" s="36"/>
      <c r="BX264" s="36"/>
      <c r="BY264" s="36"/>
    </row>
    <row r="265" spans="1:77" x14ac:dyDescent="0.35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  <c r="AU265" s="36"/>
      <c r="AV265" s="36"/>
      <c r="AW265" s="36"/>
      <c r="AX265" s="36"/>
      <c r="AY265" s="36"/>
      <c r="AZ265" s="36"/>
      <c r="BA265" s="36"/>
      <c r="BB265" s="36"/>
      <c r="BC265" s="36"/>
      <c r="BD265" s="36"/>
      <c r="BE265" s="36"/>
      <c r="BF265" s="36"/>
      <c r="BG265" s="36"/>
      <c r="BH265" s="36"/>
      <c r="BI265" s="36"/>
      <c r="BJ265" s="36"/>
      <c r="BK265" s="36"/>
      <c r="BL265" s="36"/>
      <c r="BM265" s="36"/>
      <c r="BN265" s="36"/>
      <c r="BO265" s="36"/>
      <c r="BP265" s="36"/>
      <c r="BQ265" s="36"/>
      <c r="BR265" s="36"/>
      <c r="BS265" s="36"/>
      <c r="BT265" s="36"/>
      <c r="BU265" s="36"/>
      <c r="BV265" s="36"/>
      <c r="BW265" s="36"/>
      <c r="BX265" s="36"/>
      <c r="BY265" s="36"/>
    </row>
    <row r="266" spans="1:77" x14ac:dyDescent="0.35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  <c r="AU266" s="36"/>
      <c r="AV266" s="36"/>
      <c r="AW266" s="36"/>
      <c r="AX266" s="36"/>
      <c r="AY266" s="36"/>
      <c r="AZ266" s="36"/>
      <c r="BA266" s="36"/>
      <c r="BB266" s="36"/>
      <c r="BC266" s="36"/>
      <c r="BD266" s="36"/>
      <c r="BE266" s="36"/>
      <c r="BF266" s="36"/>
      <c r="BG266" s="36"/>
      <c r="BH266" s="36"/>
      <c r="BI266" s="36"/>
      <c r="BJ266" s="36"/>
      <c r="BK266" s="36"/>
      <c r="BL266" s="36"/>
      <c r="BM266" s="36"/>
      <c r="BN266" s="36"/>
      <c r="BO266" s="36"/>
      <c r="BP266" s="36"/>
      <c r="BQ266" s="36"/>
      <c r="BR266" s="36"/>
      <c r="BS266" s="36"/>
      <c r="BT266" s="36"/>
      <c r="BU266" s="36"/>
      <c r="BV266" s="36"/>
      <c r="BW266" s="36"/>
      <c r="BX266" s="36"/>
      <c r="BY266" s="36"/>
    </row>
    <row r="267" spans="1:77" x14ac:dyDescent="0.35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  <c r="AU267" s="36"/>
      <c r="AV267" s="36"/>
      <c r="AW267" s="36"/>
      <c r="AX267" s="36"/>
      <c r="AY267" s="36"/>
      <c r="AZ267" s="36"/>
      <c r="BA267" s="36"/>
      <c r="BB267" s="36"/>
      <c r="BC267" s="36"/>
      <c r="BD267" s="36"/>
      <c r="BE267" s="36"/>
      <c r="BF267" s="36"/>
      <c r="BG267" s="36"/>
      <c r="BH267" s="36"/>
      <c r="BI267" s="36"/>
      <c r="BJ267" s="36"/>
      <c r="BK267" s="36"/>
      <c r="BL267" s="36"/>
      <c r="BM267" s="36"/>
      <c r="BN267" s="36"/>
      <c r="BO267" s="36"/>
      <c r="BP267" s="36"/>
      <c r="BQ267" s="36"/>
      <c r="BR267" s="36"/>
      <c r="BS267" s="36"/>
      <c r="BT267" s="36"/>
      <c r="BU267" s="36"/>
      <c r="BV267" s="36"/>
      <c r="BW267" s="36"/>
      <c r="BX267" s="36"/>
      <c r="BY267" s="36"/>
    </row>
    <row r="268" spans="1:77" x14ac:dyDescent="0.35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  <c r="AU268" s="36"/>
      <c r="AV268" s="36"/>
      <c r="AW268" s="36"/>
      <c r="AX268" s="36"/>
      <c r="AY268" s="36"/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36"/>
      <c r="BL268" s="36"/>
      <c r="BM268" s="36"/>
      <c r="BN268" s="36"/>
      <c r="BO268" s="36"/>
      <c r="BP268" s="36"/>
      <c r="BQ268" s="36"/>
      <c r="BR268" s="36"/>
      <c r="BS268" s="36"/>
      <c r="BT268" s="36"/>
      <c r="BU268" s="36"/>
      <c r="BV268" s="36"/>
      <c r="BW268" s="36"/>
      <c r="BX268" s="36"/>
      <c r="BY268" s="36"/>
    </row>
    <row r="269" spans="1:77" x14ac:dyDescent="0.35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  <c r="AU269" s="36"/>
      <c r="AV269" s="36"/>
      <c r="AW269" s="36"/>
      <c r="AX269" s="36"/>
      <c r="AY269" s="36"/>
      <c r="AZ269" s="36"/>
      <c r="BA269" s="36"/>
      <c r="BB269" s="36"/>
      <c r="BC269" s="36"/>
      <c r="BD269" s="36"/>
      <c r="BE269" s="36"/>
      <c r="BF269" s="36"/>
      <c r="BG269" s="36"/>
      <c r="BH269" s="36"/>
      <c r="BI269" s="36"/>
      <c r="BJ269" s="36"/>
      <c r="BK269" s="36"/>
      <c r="BL269" s="36"/>
      <c r="BM269" s="36"/>
      <c r="BN269" s="36"/>
      <c r="BO269" s="36"/>
      <c r="BP269" s="36"/>
      <c r="BQ269" s="36"/>
      <c r="BR269" s="36"/>
      <c r="BS269" s="36"/>
      <c r="BT269" s="36"/>
      <c r="BU269" s="36"/>
      <c r="BV269" s="36"/>
      <c r="BW269" s="36"/>
      <c r="BX269" s="36"/>
      <c r="BY269" s="36"/>
    </row>
    <row r="270" spans="1:77" x14ac:dyDescent="0.35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/>
      <c r="BC270" s="36"/>
      <c r="BD270" s="36"/>
      <c r="BE270" s="36"/>
      <c r="BF270" s="36"/>
      <c r="BG270" s="36"/>
      <c r="BH270" s="36"/>
      <c r="BI270" s="36"/>
      <c r="BJ270" s="36"/>
      <c r="BK270" s="36"/>
      <c r="BL270" s="36"/>
      <c r="BM270" s="36"/>
      <c r="BN270" s="36"/>
      <c r="BO270" s="36"/>
      <c r="BP270" s="36"/>
      <c r="BQ270" s="36"/>
      <c r="BR270" s="36"/>
      <c r="BS270" s="36"/>
      <c r="BT270" s="36"/>
      <c r="BU270" s="36"/>
      <c r="BV270" s="36"/>
      <c r="BW270" s="36"/>
      <c r="BX270" s="36"/>
      <c r="BY270" s="36"/>
    </row>
    <row r="271" spans="1:77" x14ac:dyDescent="0.35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  <c r="BJ271" s="36"/>
      <c r="BK271" s="36"/>
      <c r="BL271" s="36"/>
      <c r="BM271" s="36"/>
      <c r="BN271" s="36"/>
      <c r="BO271" s="36"/>
      <c r="BP271" s="36"/>
      <c r="BQ271" s="36"/>
      <c r="BR271" s="36"/>
      <c r="BS271" s="36"/>
      <c r="BT271" s="36"/>
      <c r="BU271" s="36"/>
      <c r="BV271" s="36"/>
      <c r="BW271" s="36"/>
      <c r="BX271" s="36"/>
      <c r="BY271" s="36"/>
    </row>
    <row r="272" spans="1:77" x14ac:dyDescent="0.35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36"/>
      <c r="BA272" s="36"/>
      <c r="BB272" s="36"/>
      <c r="BC272" s="36"/>
      <c r="BD272" s="36"/>
      <c r="BE272" s="36"/>
      <c r="BF272" s="36"/>
      <c r="BG272" s="36"/>
      <c r="BH272" s="36"/>
      <c r="BI272" s="36"/>
      <c r="BJ272" s="36"/>
      <c r="BK272" s="36"/>
      <c r="BL272" s="36"/>
      <c r="BM272" s="36"/>
      <c r="BN272" s="36"/>
      <c r="BO272" s="36"/>
      <c r="BP272" s="36"/>
      <c r="BQ272" s="36"/>
      <c r="BR272" s="36"/>
      <c r="BS272" s="36"/>
      <c r="BT272" s="36"/>
      <c r="BU272" s="36"/>
      <c r="BV272" s="36"/>
      <c r="BW272" s="36"/>
      <c r="BX272" s="36"/>
      <c r="BY272" s="36"/>
    </row>
    <row r="273" spans="1:77" x14ac:dyDescent="0.35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36"/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36"/>
      <c r="BL273" s="36"/>
      <c r="BM273" s="36"/>
      <c r="BN273" s="36"/>
      <c r="BO273" s="36"/>
      <c r="BP273" s="36"/>
      <c r="BQ273" s="36"/>
      <c r="BR273" s="36"/>
      <c r="BS273" s="36"/>
      <c r="BT273" s="36"/>
      <c r="BU273" s="36"/>
      <c r="BV273" s="36"/>
      <c r="BW273" s="36"/>
      <c r="BX273" s="36"/>
      <c r="BY273" s="36"/>
    </row>
    <row r="274" spans="1:77" x14ac:dyDescent="0.35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36"/>
      <c r="AZ274" s="36"/>
      <c r="BA274" s="36"/>
      <c r="BB274" s="36"/>
      <c r="BC274" s="36"/>
      <c r="BD274" s="36"/>
      <c r="BE274" s="36"/>
      <c r="BF274" s="36"/>
      <c r="BG274" s="36"/>
      <c r="BH274" s="36"/>
      <c r="BI274" s="36"/>
      <c r="BJ274" s="36"/>
      <c r="BK274" s="36"/>
      <c r="BL274" s="36"/>
      <c r="BM274" s="36"/>
      <c r="BN274" s="36"/>
      <c r="BO274" s="36"/>
      <c r="BP274" s="36"/>
      <c r="BQ274" s="36"/>
      <c r="BR274" s="36"/>
      <c r="BS274" s="36"/>
      <c r="BT274" s="36"/>
      <c r="BU274" s="36"/>
      <c r="BV274" s="36"/>
      <c r="BW274" s="36"/>
      <c r="BX274" s="36"/>
      <c r="BY274" s="36"/>
    </row>
    <row r="275" spans="1:77" x14ac:dyDescent="0.35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  <c r="AU275" s="36"/>
      <c r="AV275" s="36"/>
      <c r="AW275" s="36"/>
      <c r="AX275" s="36"/>
      <c r="AY275" s="36"/>
      <c r="AZ275" s="36"/>
      <c r="BA275" s="36"/>
      <c r="BB275" s="36"/>
      <c r="BC275" s="36"/>
      <c r="BD275" s="36"/>
      <c r="BE275" s="36"/>
      <c r="BF275" s="36"/>
      <c r="BG275" s="36"/>
      <c r="BH275" s="36"/>
      <c r="BI275" s="36"/>
      <c r="BJ275" s="36"/>
      <c r="BK275" s="36"/>
      <c r="BL275" s="36"/>
      <c r="BM275" s="36"/>
      <c r="BN275" s="36"/>
      <c r="BO275" s="36"/>
      <c r="BP275" s="36"/>
      <c r="BQ275" s="36"/>
      <c r="BR275" s="36"/>
      <c r="BS275" s="36"/>
      <c r="BT275" s="36"/>
      <c r="BU275" s="36"/>
      <c r="BV275" s="36"/>
      <c r="BW275" s="36"/>
      <c r="BX275" s="36"/>
      <c r="BY275" s="36"/>
    </row>
    <row r="276" spans="1:77" x14ac:dyDescent="0.35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36"/>
      <c r="BD276" s="36"/>
      <c r="BE276" s="36"/>
      <c r="BF276" s="36"/>
      <c r="BG276" s="36"/>
      <c r="BH276" s="36"/>
      <c r="BI276" s="36"/>
      <c r="BJ276" s="36"/>
      <c r="BK276" s="36"/>
      <c r="BL276" s="36"/>
      <c r="BM276" s="36"/>
      <c r="BN276" s="36"/>
      <c r="BO276" s="36"/>
      <c r="BP276" s="36"/>
      <c r="BQ276" s="36"/>
      <c r="BR276" s="36"/>
      <c r="BS276" s="36"/>
      <c r="BT276" s="36"/>
      <c r="BU276" s="36"/>
      <c r="BV276" s="36"/>
      <c r="BW276" s="36"/>
      <c r="BX276" s="36"/>
      <c r="BY276" s="36"/>
    </row>
    <row r="277" spans="1:77" x14ac:dyDescent="0.35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  <c r="BG277" s="36"/>
      <c r="BH277" s="36"/>
      <c r="BI277" s="36"/>
      <c r="BJ277" s="36"/>
      <c r="BK277" s="36"/>
      <c r="BL277" s="36"/>
      <c r="BM277" s="36"/>
      <c r="BN277" s="36"/>
      <c r="BO277" s="36"/>
      <c r="BP277" s="36"/>
      <c r="BQ277" s="36"/>
      <c r="BR277" s="36"/>
      <c r="BS277" s="36"/>
      <c r="BT277" s="36"/>
      <c r="BU277" s="36"/>
      <c r="BV277" s="36"/>
      <c r="BW277" s="36"/>
      <c r="BX277" s="36"/>
      <c r="BY277" s="36"/>
    </row>
    <row r="278" spans="1:77" x14ac:dyDescent="0.35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  <c r="AU278" s="36"/>
      <c r="AV278" s="36"/>
      <c r="AW278" s="36"/>
      <c r="AX278" s="36"/>
      <c r="AY278" s="36"/>
      <c r="AZ278" s="36"/>
      <c r="BA278" s="36"/>
      <c r="BB278" s="36"/>
      <c r="BC278" s="36"/>
      <c r="BD278" s="36"/>
      <c r="BE278" s="36"/>
      <c r="BF278" s="36"/>
      <c r="BG278" s="36"/>
      <c r="BH278" s="36"/>
      <c r="BI278" s="36"/>
      <c r="BJ278" s="36"/>
      <c r="BK278" s="36"/>
      <c r="BL278" s="36"/>
      <c r="BM278" s="36"/>
      <c r="BN278" s="36"/>
      <c r="BO278" s="36"/>
      <c r="BP278" s="36"/>
      <c r="BQ278" s="36"/>
      <c r="BR278" s="36"/>
      <c r="BS278" s="36"/>
      <c r="BT278" s="36"/>
      <c r="BU278" s="36"/>
      <c r="BV278" s="36"/>
      <c r="BW278" s="36"/>
      <c r="BX278" s="36"/>
      <c r="BY278" s="36"/>
    </row>
    <row r="279" spans="1:77" x14ac:dyDescent="0.35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36"/>
      <c r="BH279" s="36"/>
      <c r="BI279" s="36"/>
      <c r="BJ279" s="36"/>
      <c r="BK279" s="36"/>
      <c r="BL279" s="36"/>
      <c r="BM279" s="36"/>
      <c r="BN279" s="36"/>
      <c r="BO279" s="36"/>
      <c r="BP279" s="36"/>
      <c r="BQ279" s="36"/>
      <c r="BR279" s="36"/>
      <c r="BS279" s="36"/>
      <c r="BT279" s="36"/>
      <c r="BU279" s="36"/>
      <c r="BV279" s="36"/>
      <c r="BW279" s="36"/>
      <c r="BX279" s="36"/>
      <c r="BY279" s="36"/>
    </row>
    <row r="280" spans="1:77" x14ac:dyDescent="0.35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36"/>
      <c r="BD280" s="36"/>
      <c r="BE280" s="36"/>
      <c r="BF280" s="36"/>
      <c r="BG280" s="36"/>
      <c r="BH280" s="36"/>
      <c r="BI280" s="36"/>
      <c r="BJ280" s="36"/>
      <c r="BK280" s="36"/>
      <c r="BL280" s="36"/>
      <c r="BM280" s="36"/>
      <c r="BN280" s="36"/>
      <c r="BO280" s="36"/>
      <c r="BP280" s="36"/>
      <c r="BQ280" s="36"/>
      <c r="BR280" s="36"/>
      <c r="BS280" s="36"/>
      <c r="BT280" s="36"/>
      <c r="BU280" s="36"/>
      <c r="BV280" s="36"/>
      <c r="BW280" s="36"/>
      <c r="BX280" s="36"/>
      <c r="BY280" s="36"/>
    </row>
    <row r="281" spans="1:77" x14ac:dyDescent="0.35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  <c r="AU281" s="36"/>
      <c r="AV281" s="36"/>
      <c r="AW281" s="36"/>
      <c r="AX281" s="36"/>
      <c r="AY281" s="36"/>
      <c r="AZ281" s="36"/>
      <c r="BA281" s="36"/>
      <c r="BB281" s="36"/>
      <c r="BC281" s="36"/>
      <c r="BD281" s="36"/>
      <c r="BE281" s="36"/>
      <c r="BF281" s="36"/>
      <c r="BG281" s="36"/>
      <c r="BH281" s="36"/>
      <c r="BI281" s="36"/>
      <c r="BJ281" s="36"/>
      <c r="BK281" s="36"/>
      <c r="BL281" s="36"/>
      <c r="BM281" s="36"/>
      <c r="BN281" s="36"/>
      <c r="BO281" s="36"/>
      <c r="BP281" s="36"/>
      <c r="BQ281" s="36"/>
      <c r="BR281" s="36"/>
      <c r="BS281" s="36"/>
      <c r="BT281" s="36"/>
      <c r="BU281" s="36"/>
      <c r="BV281" s="36"/>
      <c r="BW281" s="36"/>
      <c r="BX281" s="36"/>
      <c r="BY281" s="36"/>
    </row>
    <row r="282" spans="1:77" x14ac:dyDescent="0.35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  <c r="AU282" s="36"/>
      <c r="AV282" s="36"/>
      <c r="AW282" s="36"/>
      <c r="AX282" s="36"/>
      <c r="AY282" s="36"/>
      <c r="AZ282" s="36"/>
      <c r="BA282" s="36"/>
      <c r="BB282" s="36"/>
      <c r="BC282" s="36"/>
      <c r="BD282" s="36"/>
      <c r="BE282" s="36"/>
      <c r="BF282" s="36"/>
      <c r="BG282" s="36"/>
      <c r="BH282" s="36"/>
      <c r="BI282" s="36"/>
      <c r="BJ282" s="36"/>
      <c r="BK282" s="36"/>
      <c r="BL282" s="36"/>
      <c r="BM282" s="36"/>
      <c r="BN282" s="36"/>
      <c r="BO282" s="36"/>
      <c r="BP282" s="36"/>
      <c r="BQ282" s="36"/>
      <c r="BR282" s="36"/>
      <c r="BS282" s="36"/>
      <c r="BT282" s="36"/>
      <c r="BU282" s="36"/>
      <c r="BV282" s="36"/>
      <c r="BW282" s="36"/>
      <c r="BX282" s="36"/>
      <c r="BY282" s="36"/>
    </row>
    <row r="283" spans="1:77" x14ac:dyDescent="0.35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  <c r="AU283" s="36"/>
      <c r="AV283" s="36"/>
      <c r="AW283" s="36"/>
      <c r="AX283" s="36"/>
      <c r="AY283" s="36"/>
      <c r="AZ283" s="36"/>
      <c r="BA283" s="36"/>
      <c r="BB283" s="36"/>
      <c r="BC283" s="36"/>
      <c r="BD283" s="36"/>
      <c r="BE283" s="36"/>
      <c r="BF283" s="36"/>
      <c r="BG283" s="36"/>
      <c r="BH283" s="36"/>
      <c r="BI283" s="36"/>
      <c r="BJ283" s="36"/>
      <c r="BK283" s="36"/>
      <c r="BL283" s="36"/>
      <c r="BM283" s="36"/>
      <c r="BN283" s="36"/>
      <c r="BO283" s="36"/>
      <c r="BP283" s="36"/>
      <c r="BQ283" s="36"/>
      <c r="BR283" s="36"/>
      <c r="BS283" s="36"/>
      <c r="BT283" s="36"/>
      <c r="BU283" s="36"/>
      <c r="BV283" s="36"/>
      <c r="BW283" s="36"/>
      <c r="BX283" s="36"/>
      <c r="BY283" s="36"/>
    </row>
    <row r="284" spans="1:77" x14ac:dyDescent="0.35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  <c r="AU284" s="36"/>
      <c r="AV284" s="36"/>
      <c r="AW284" s="36"/>
      <c r="AX284" s="36"/>
      <c r="AY284" s="36"/>
      <c r="AZ284" s="36"/>
      <c r="BA284" s="36"/>
      <c r="BB284" s="36"/>
      <c r="BC284" s="36"/>
      <c r="BD284" s="36"/>
      <c r="BE284" s="36"/>
      <c r="BF284" s="36"/>
      <c r="BG284" s="36"/>
      <c r="BH284" s="36"/>
      <c r="BI284" s="36"/>
      <c r="BJ284" s="36"/>
      <c r="BK284" s="36"/>
      <c r="BL284" s="36"/>
      <c r="BM284" s="36"/>
      <c r="BN284" s="36"/>
      <c r="BO284" s="36"/>
      <c r="BP284" s="36"/>
      <c r="BQ284" s="36"/>
      <c r="BR284" s="36"/>
      <c r="BS284" s="36"/>
      <c r="BT284" s="36"/>
      <c r="BU284" s="36"/>
      <c r="BV284" s="36"/>
      <c r="BW284" s="36"/>
      <c r="BX284" s="36"/>
      <c r="BY284" s="36"/>
    </row>
    <row r="285" spans="1:77" x14ac:dyDescent="0.35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  <c r="AU285" s="36"/>
      <c r="AV285" s="36"/>
      <c r="AW285" s="36"/>
      <c r="AX285" s="36"/>
      <c r="AY285" s="36"/>
      <c r="AZ285" s="36"/>
      <c r="BA285" s="36"/>
      <c r="BB285" s="36"/>
      <c r="BC285" s="36"/>
      <c r="BD285" s="36"/>
      <c r="BE285" s="36"/>
      <c r="BF285" s="36"/>
      <c r="BG285" s="36"/>
      <c r="BH285" s="36"/>
      <c r="BI285" s="36"/>
      <c r="BJ285" s="36"/>
      <c r="BK285" s="36"/>
      <c r="BL285" s="36"/>
      <c r="BM285" s="36"/>
      <c r="BN285" s="36"/>
      <c r="BO285" s="36"/>
      <c r="BP285" s="36"/>
      <c r="BQ285" s="36"/>
      <c r="BR285" s="36"/>
      <c r="BS285" s="36"/>
      <c r="BT285" s="36"/>
      <c r="BU285" s="36"/>
      <c r="BV285" s="36"/>
      <c r="BW285" s="36"/>
      <c r="BX285" s="36"/>
      <c r="BY285" s="36"/>
    </row>
    <row r="286" spans="1:77" x14ac:dyDescent="0.35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  <c r="AU286" s="36"/>
      <c r="AV286" s="36"/>
      <c r="AW286" s="36"/>
      <c r="AX286" s="36"/>
      <c r="AY286" s="36"/>
      <c r="AZ286" s="36"/>
      <c r="BA286" s="36"/>
      <c r="BB286" s="36"/>
      <c r="BC286" s="36"/>
      <c r="BD286" s="36"/>
      <c r="BE286" s="36"/>
      <c r="BF286" s="36"/>
      <c r="BG286" s="36"/>
      <c r="BH286" s="36"/>
      <c r="BI286" s="36"/>
      <c r="BJ286" s="36"/>
      <c r="BK286" s="36"/>
      <c r="BL286" s="36"/>
      <c r="BM286" s="36"/>
      <c r="BN286" s="36"/>
      <c r="BO286" s="36"/>
      <c r="BP286" s="36"/>
      <c r="BQ286" s="36"/>
      <c r="BR286" s="36"/>
      <c r="BS286" s="36"/>
      <c r="BT286" s="36"/>
      <c r="BU286" s="36"/>
      <c r="BV286" s="36"/>
      <c r="BW286" s="36"/>
      <c r="BX286" s="36"/>
      <c r="BY286" s="36"/>
    </row>
    <row r="287" spans="1:77" x14ac:dyDescent="0.35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  <c r="AU287" s="36"/>
      <c r="AV287" s="36"/>
      <c r="AW287" s="36"/>
      <c r="AX287" s="36"/>
      <c r="AY287" s="36"/>
      <c r="AZ287" s="36"/>
      <c r="BA287" s="36"/>
      <c r="BB287" s="36"/>
      <c r="BC287" s="36"/>
      <c r="BD287" s="36"/>
      <c r="BE287" s="36"/>
      <c r="BF287" s="36"/>
      <c r="BG287" s="36"/>
      <c r="BH287" s="36"/>
      <c r="BI287" s="36"/>
      <c r="BJ287" s="36"/>
      <c r="BK287" s="36"/>
      <c r="BL287" s="36"/>
      <c r="BM287" s="36"/>
      <c r="BN287" s="36"/>
      <c r="BO287" s="36"/>
      <c r="BP287" s="36"/>
      <c r="BQ287" s="36"/>
      <c r="BR287" s="36"/>
      <c r="BS287" s="36"/>
      <c r="BT287" s="36"/>
      <c r="BU287" s="36"/>
      <c r="BV287" s="36"/>
      <c r="BW287" s="36"/>
      <c r="BX287" s="36"/>
      <c r="BY287" s="36"/>
    </row>
    <row r="288" spans="1:77" x14ac:dyDescent="0.35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  <c r="AU288" s="36"/>
      <c r="AV288" s="36"/>
      <c r="AW288" s="36"/>
      <c r="AX288" s="36"/>
      <c r="AY288" s="36"/>
      <c r="AZ288" s="36"/>
      <c r="BA288" s="36"/>
      <c r="BB288" s="36"/>
      <c r="BC288" s="36"/>
      <c r="BD288" s="36"/>
      <c r="BE288" s="36"/>
      <c r="BF288" s="36"/>
      <c r="BG288" s="36"/>
      <c r="BH288" s="36"/>
      <c r="BI288" s="36"/>
      <c r="BJ288" s="36"/>
      <c r="BK288" s="36"/>
      <c r="BL288" s="36"/>
      <c r="BM288" s="36"/>
      <c r="BN288" s="36"/>
      <c r="BO288" s="36"/>
      <c r="BP288" s="36"/>
      <c r="BQ288" s="36"/>
      <c r="BR288" s="36"/>
      <c r="BS288" s="36"/>
      <c r="BT288" s="36"/>
      <c r="BU288" s="36"/>
      <c r="BV288" s="36"/>
      <c r="BW288" s="36"/>
      <c r="BX288" s="36"/>
      <c r="BY288" s="36"/>
    </row>
    <row r="289" spans="1:77" x14ac:dyDescent="0.35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  <c r="AU289" s="36"/>
      <c r="AV289" s="36"/>
      <c r="AW289" s="36"/>
      <c r="AX289" s="36"/>
      <c r="AY289" s="36"/>
      <c r="AZ289" s="36"/>
      <c r="BA289" s="36"/>
      <c r="BB289" s="36"/>
      <c r="BC289" s="36"/>
      <c r="BD289" s="36"/>
      <c r="BE289" s="36"/>
      <c r="BF289" s="36"/>
      <c r="BG289" s="36"/>
      <c r="BH289" s="36"/>
      <c r="BI289" s="36"/>
      <c r="BJ289" s="36"/>
      <c r="BK289" s="36"/>
      <c r="BL289" s="36"/>
      <c r="BM289" s="36"/>
      <c r="BN289" s="36"/>
      <c r="BO289" s="36"/>
      <c r="BP289" s="36"/>
      <c r="BQ289" s="36"/>
      <c r="BR289" s="36"/>
      <c r="BS289" s="36"/>
      <c r="BT289" s="36"/>
      <c r="BU289" s="36"/>
      <c r="BV289" s="36"/>
      <c r="BW289" s="36"/>
      <c r="BX289" s="36"/>
      <c r="BY289" s="36"/>
    </row>
    <row r="290" spans="1:77" x14ac:dyDescent="0.35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  <c r="AU290" s="36"/>
      <c r="AV290" s="36"/>
      <c r="AW290" s="36"/>
      <c r="AX290" s="36"/>
      <c r="AY290" s="36"/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36"/>
      <c r="BL290" s="36"/>
      <c r="BM290" s="36"/>
      <c r="BN290" s="36"/>
      <c r="BO290" s="36"/>
      <c r="BP290" s="36"/>
      <c r="BQ290" s="36"/>
      <c r="BR290" s="36"/>
      <c r="BS290" s="36"/>
      <c r="BT290" s="36"/>
      <c r="BU290" s="36"/>
      <c r="BV290" s="36"/>
      <c r="BW290" s="36"/>
      <c r="BX290" s="36"/>
      <c r="BY290" s="36"/>
    </row>
    <row r="291" spans="1:77" x14ac:dyDescent="0.35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  <c r="AU291" s="36"/>
      <c r="AV291" s="36"/>
      <c r="AW291" s="36"/>
      <c r="AX291" s="36"/>
      <c r="AY291" s="36"/>
      <c r="AZ291" s="36"/>
      <c r="BA291" s="36"/>
      <c r="BB291" s="36"/>
      <c r="BC291" s="36"/>
      <c r="BD291" s="36"/>
      <c r="BE291" s="36"/>
      <c r="BF291" s="36"/>
      <c r="BG291" s="36"/>
      <c r="BH291" s="36"/>
      <c r="BI291" s="36"/>
      <c r="BJ291" s="36"/>
      <c r="BK291" s="36"/>
      <c r="BL291" s="36"/>
      <c r="BM291" s="36"/>
      <c r="BN291" s="36"/>
      <c r="BO291" s="36"/>
      <c r="BP291" s="36"/>
      <c r="BQ291" s="36"/>
      <c r="BR291" s="36"/>
      <c r="BS291" s="36"/>
      <c r="BT291" s="36"/>
      <c r="BU291" s="36"/>
      <c r="BV291" s="36"/>
      <c r="BW291" s="36"/>
      <c r="BX291" s="36"/>
      <c r="BY291" s="36"/>
    </row>
    <row r="292" spans="1:77" x14ac:dyDescent="0.35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  <c r="AU292" s="36"/>
      <c r="AV292" s="36"/>
      <c r="AW292" s="36"/>
      <c r="AX292" s="36"/>
      <c r="AY292" s="36"/>
      <c r="AZ292" s="36"/>
      <c r="BA292" s="36"/>
      <c r="BB292" s="36"/>
      <c r="BC292" s="36"/>
      <c r="BD292" s="36"/>
      <c r="BE292" s="36"/>
      <c r="BF292" s="36"/>
      <c r="BG292" s="36"/>
      <c r="BH292" s="36"/>
      <c r="BI292" s="36"/>
      <c r="BJ292" s="36"/>
      <c r="BK292" s="36"/>
      <c r="BL292" s="36"/>
      <c r="BM292" s="36"/>
      <c r="BN292" s="36"/>
      <c r="BO292" s="36"/>
      <c r="BP292" s="36"/>
      <c r="BQ292" s="36"/>
      <c r="BR292" s="36"/>
      <c r="BS292" s="36"/>
      <c r="BT292" s="36"/>
      <c r="BU292" s="36"/>
      <c r="BV292" s="36"/>
      <c r="BW292" s="36"/>
      <c r="BX292" s="36"/>
      <c r="BY292" s="36"/>
    </row>
    <row r="293" spans="1:77" x14ac:dyDescent="0.35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  <c r="AU293" s="36"/>
      <c r="AV293" s="36"/>
      <c r="AW293" s="36"/>
      <c r="AX293" s="36"/>
      <c r="AY293" s="36"/>
      <c r="AZ293" s="36"/>
      <c r="BA293" s="36"/>
      <c r="BB293" s="36"/>
      <c r="BC293" s="36"/>
      <c r="BD293" s="36"/>
      <c r="BE293" s="36"/>
      <c r="BF293" s="36"/>
      <c r="BG293" s="36"/>
      <c r="BH293" s="36"/>
      <c r="BI293" s="36"/>
      <c r="BJ293" s="36"/>
      <c r="BK293" s="36"/>
      <c r="BL293" s="36"/>
      <c r="BM293" s="36"/>
      <c r="BN293" s="36"/>
      <c r="BO293" s="36"/>
      <c r="BP293" s="36"/>
      <c r="BQ293" s="36"/>
      <c r="BR293" s="36"/>
      <c r="BS293" s="36"/>
      <c r="BT293" s="36"/>
      <c r="BU293" s="36"/>
      <c r="BV293" s="36"/>
      <c r="BW293" s="36"/>
      <c r="BX293" s="36"/>
      <c r="BY293" s="36"/>
    </row>
    <row r="294" spans="1:77" x14ac:dyDescent="0.35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  <c r="AU294" s="36"/>
      <c r="AV294" s="36"/>
      <c r="AW294" s="36"/>
      <c r="AX294" s="36"/>
      <c r="AY294" s="36"/>
      <c r="AZ294" s="36"/>
      <c r="BA294" s="36"/>
      <c r="BB294" s="36"/>
      <c r="BC294" s="36"/>
      <c r="BD294" s="36"/>
      <c r="BE294" s="36"/>
      <c r="BF294" s="36"/>
      <c r="BG294" s="36"/>
      <c r="BH294" s="36"/>
      <c r="BI294" s="36"/>
      <c r="BJ294" s="36"/>
      <c r="BK294" s="36"/>
      <c r="BL294" s="36"/>
      <c r="BM294" s="36"/>
      <c r="BN294" s="36"/>
      <c r="BO294" s="36"/>
      <c r="BP294" s="36"/>
      <c r="BQ294" s="36"/>
      <c r="BR294" s="36"/>
      <c r="BS294" s="36"/>
      <c r="BT294" s="36"/>
      <c r="BU294" s="36"/>
      <c r="BV294" s="36"/>
      <c r="BW294" s="36"/>
      <c r="BX294" s="36"/>
      <c r="BY294" s="36"/>
    </row>
    <row r="295" spans="1:77" x14ac:dyDescent="0.35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  <c r="AU295" s="36"/>
      <c r="AV295" s="36"/>
      <c r="AW295" s="36"/>
      <c r="AX295" s="36"/>
      <c r="AY295" s="36"/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36"/>
      <c r="BL295" s="36"/>
      <c r="BM295" s="36"/>
      <c r="BN295" s="36"/>
      <c r="BO295" s="36"/>
      <c r="BP295" s="36"/>
      <c r="BQ295" s="36"/>
      <c r="BR295" s="36"/>
      <c r="BS295" s="36"/>
      <c r="BT295" s="36"/>
      <c r="BU295" s="36"/>
      <c r="BV295" s="36"/>
      <c r="BW295" s="36"/>
      <c r="BX295" s="36"/>
      <c r="BY295" s="36"/>
    </row>
    <row r="296" spans="1:77" x14ac:dyDescent="0.35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  <c r="AU296" s="36"/>
      <c r="AV296" s="36"/>
      <c r="AW296" s="36"/>
      <c r="AX296" s="36"/>
      <c r="AY296" s="36"/>
      <c r="AZ296" s="36"/>
      <c r="BA296" s="36"/>
      <c r="BB296" s="36"/>
      <c r="BC296" s="36"/>
      <c r="BD296" s="36"/>
      <c r="BE296" s="36"/>
      <c r="BF296" s="36"/>
      <c r="BG296" s="36"/>
      <c r="BH296" s="36"/>
      <c r="BI296" s="36"/>
      <c r="BJ296" s="36"/>
      <c r="BK296" s="36"/>
      <c r="BL296" s="36"/>
      <c r="BM296" s="36"/>
      <c r="BN296" s="36"/>
      <c r="BO296" s="36"/>
      <c r="BP296" s="36"/>
      <c r="BQ296" s="36"/>
      <c r="BR296" s="36"/>
      <c r="BS296" s="36"/>
      <c r="BT296" s="36"/>
      <c r="BU296" s="36"/>
      <c r="BV296" s="36"/>
      <c r="BW296" s="36"/>
      <c r="BX296" s="36"/>
      <c r="BY296" s="36"/>
    </row>
    <row r="297" spans="1:77" x14ac:dyDescent="0.35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  <c r="AU297" s="36"/>
      <c r="AV297" s="36"/>
      <c r="AW297" s="36"/>
      <c r="AX297" s="36"/>
      <c r="AY297" s="36"/>
      <c r="AZ297" s="36"/>
      <c r="BA297" s="36"/>
      <c r="BB297" s="36"/>
      <c r="BC297" s="36"/>
      <c r="BD297" s="36"/>
      <c r="BE297" s="36"/>
      <c r="BF297" s="36"/>
      <c r="BG297" s="36"/>
      <c r="BH297" s="36"/>
      <c r="BI297" s="36"/>
      <c r="BJ297" s="36"/>
      <c r="BK297" s="36"/>
      <c r="BL297" s="36"/>
      <c r="BM297" s="36"/>
      <c r="BN297" s="36"/>
      <c r="BO297" s="36"/>
      <c r="BP297" s="36"/>
      <c r="BQ297" s="36"/>
      <c r="BR297" s="36"/>
      <c r="BS297" s="36"/>
      <c r="BT297" s="36"/>
      <c r="BU297" s="36"/>
      <c r="BV297" s="36"/>
      <c r="BW297" s="36"/>
      <c r="BX297" s="36"/>
      <c r="BY297" s="36"/>
    </row>
    <row r="298" spans="1:77" x14ac:dyDescent="0.35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  <c r="BC298" s="36"/>
      <c r="BD298" s="36"/>
      <c r="BE298" s="36"/>
      <c r="BF298" s="36"/>
      <c r="BG298" s="36"/>
      <c r="BH298" s="36"/>
      <c r="BI298" s="36"/>
      <c r="BJ298" s="36"/>
      <c r="BK298" s="36"/>
      <c r="BL298" s="36"/>
      <c r="BM298" s="36"/>
      <c r="BN298" s="36"/>
      <c r="BO298" s="36"/>
      <c r="BP298" s="36"/>
      <c r="BQ298" s="36"/>
      <c r="BR298" s="36"/>
      <c r="BS298" s="36"/>
      <c r="BT298" s="36"/>
      <c r="BU298" s="36"/>
      <c r="BV298" s="36"/>
      <c r="BW298" s="36"/>
      <c r="BX298" s="36"/>
      <c r="BY298" s="36"/>
    </row>
    <row r="299" spans="1:77" x14ac:dyDescent="0.35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  <c r="AU299" s="36"/>
      <c r="AV299" s="36"/>
      <c r="AW299" s="36"/>
      <c r="AX299" s="36"/>
      <c r="AY299" s="36"/>
      <c r="AZ299" s="36"/>
      <c r="BA299" s="36"/>
      <c r="BB299" s="36"/>
      <c r="BC299" s="36"/>
      <c r="BD299" s="36"/>
      <c r="BE299" s="36"/>
      <c r="BF299" s="36"/>
      <c r="BG299" s="36"/>
      <c r="BH299" s="36"/>
      <c r="BI299" s="36"/>
      <c r="BJ299" s="36"/>
      <c r="BK299" s="36"/>
      <c r="BL299" s="36"/>
      <c r="BM299" s="36"/>
      <c r="BN299" s="36"/>
      <c r="BO299" s="36"/>
      <c r="BP299" s="36"/>
      <c r="BQ299" s="36"/>
      <c r="BR299" s="36"/>
      <c r="BS299" s="36"/>
      <c r="BT299" s="36"/>
      <c r="BU299" s="36"/>
      <c r="BV299" s="36"/>
      <c r="BW299" s="36"/>
      <c r="BX299" s="36"/>
      <c r="BY299" s="36"/>
    </row>
    <row r="300" spans="1:77" x14ac:dyDescent="0.35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  <c r="AU300" s="36"/>
      <c r="AV300" s="36"/>
      <c r="AW300" s="36"/>
      <c r="AX300" s="36"/>
      <c r="AY300" s="36"/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36"/>
      <c r="BL300" s="36"/>
      <c r="BM300" s="36"/>
      <c r="BN300" s="36"/>
      <c r="BO300" s="36"/>
      <c r="BP300" s="36"/>
      <c r="BQ300" s="36"/>
      <c r="BR300" s="36"/>
      <c r="BS300" s="36"/>
      <c r="BT300" s="36"/>
      <c r="BU300" s="36"/>
      <c r="BV300" s="36"/>
      <c r="BW300" s="36"/>
      <c r="BX300" s="36"/>
      <c r="BY300" s="36"/>
    </row>
    <row r="301" spans="1:77" x14ac:dyDescent="0.35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C301" s="36"/>
      <c r="BD301" s="36"/>
      <c r="BE301" s="36"/>
      <c r="BF301" s="36"/>
      <c r="BG301" s="36"/>
      <c r="BH301" s="36"/>
      <c r="BI301" s="36"/>
      <c r="BJ301" s="36"/>
      <c r="BK301" s="36"/>
      <c r="BL301" s="36"/>
      <c r="BM301" s="36"/>
      <c r="BN301" s="36"/>
      <c r="BO301" s="36"/>
      <c r="BP301" s="36"/>
      <c r="BQ301" s="36"/>
      <c r="BR301" s="36"/>
      <c r="BS301" s="36"/>
      <c r="BT301" s="36"/>
      <c r="BU301" s="36"/>
      <c r="BV301" s="36"/>
      <c r="BW301" s="36"/>
      <c r="BX301" s="36"/>
      <c r="BY301" s="36"/>
    </row>
    <row r="302" spans="1:77" x14ac:dyDescent="0.35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  <c r="AU302" s="36"/>
      <c r="AV302" s="36"/>
      <c r="AW302" s="36"/>
      <c r="AX302" s="36"/>
      <c r="AY302" s="36"/>
      <c r="AZ302" s="36"/>
      <c r="BA302" s="36"/>
      <c r="BB302" s="36"/>
      <c r="BC302" s="36"/>
      <c r="BD302" s="36"/>
      <c r="BE302" s="36"/>
      <c r="BF302" s="36"/>
      <c r="BG302" s="36"/>
      <c r="BH302" s="36"/>
      <c r="BI302" s="36"/>
      <c r="BJ302" s="36"/>
      <c r="BK302" s="36"/>
      <c r="BL302" s="36"/>
      <c r="BM302" s="36"/>
      <c r="BN302" s="36"/>
      <c r="BO302" s="36"/>
      <c r="BP302" s="36"/>
      <c r="BQ302" s="36"/>
      <c r="BR302" s="36"/>
      <c r="BS302" s="36"/>
      <c r="BT302" s="36"/>
      <c r="BU302" s="36"/>
      <c r="BV302" s="36"/>
      <c r="BW302" s="36"/>
      <c r="BX302" s="36"/>
      <c r="BY302" s="36"/>
    </row>
    <row r="303" spans="1:77" x14ac:dyDescent="0.35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  <c r="AU303" s="36"/>
      <c r="AV303" s="36"/>
      <c r="AW303" s="36"/>
      <c r="AX303" s="36"/>
      <c r="AY303" s="36"/>
      <c r="AZ303" s="36"/>
      <c r="BA303" s="36"/>
      <c r="BB303" s="36"/>
      <c r="BC303" s="36"/>
      <c r="BD303" s="36"/>
      <c r="BE303" s="36"/>
      <c r="BF303" s="36"/>
      <c r="BG303" s="36"/>
      <c r="BH303" s="36"/>
      <c r="BI303" s="36"/>
      <c r="BJ303" s="36"/>
      <c r="BK303" s="36"/>
      <c r="BL303" s="36"/>
      <c r="BM303" s="36"/>
      <c r="BN303" s="36"/>
      <c r="BO303" s="36"/>
      <c r="BP303" s="36"/>
      <c r="BQ303" s="36"/>
      <c r="BR303" s="36"/>
      <c r="BS303" s="36"/>
      <c r="BT303" s="36"/>
      <c r="BU303" s="36"/>
      <c r="BV303" s="36"/>
      <c r="BW303" s="36"/>
      <c r="BX303" s="36"/>
      <c r="BY303" s="36"/>
    </row>
    <row r="304" spans="1:77" x14ac:dyDescent="0.35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  <c r="BC304" s="36"/>
      <c r="BD304" s="36"/>
      <c r="BE304" s="36"/>
      <c r="BF304" s="36"/>
      <c r="BG304" s="36"/>
      <c r="BH304" s="36"/>
      <c r="BI304" s="36"/>
      <c r="BJ304" s="36"/>
      <c r="BK304" s="36"/>
      <c r="BL304" s="36"/>
      <c r="BM304" s="36"/>
      <c r="BN304" s="36"/>
      <c r="BO304" s="36"/>
      <c r="BP304" s="36"/>
      <c r="BQ304" s="36"/>
      <c r="BR304" s="36"/>
      <c r="BS304" s="36"/>
      <c r="BT304" s="36"/>
      <c r="BU304" s="36"/>
      <c r="BV304" s="36"/>
      <c r="BW304" s="36"/>
      <c r="BX304" s="36"/>
      <c r="BY304" s="36"/>
    </row>
    <row r="305" spans="1:77" x14ac:dyDescent="0.35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  <c r="AU305" s="36"/>
      <c r="AV305" s="36"/>
      <c r="AW305" s="36"/>
      <c r="AX305" s="36"/>
      <c r="AY305" s="36"/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36"/>
      <c r="BL305" s="36"/>
      <c r="BM305" s="36"/>
      <c r="BN305" s="36"/>
      <c r="BO305" s="36"/>
      <c r="BP305" s="36"/>
      <c r="BQ305" s="36"/>
      <c r="BR305" s="36"/>
      <c r="BS305" s="36"/>
      <c r="BT305" s="36"/>
      <c r="BU305" s="36"/>
      <c r="BV305" s="36"/>
      <c r="BW305" s="36"/>
      <c r="BX305" s="36"/>
      <c r="BY305" s="36"/>
    </row>
    <row r="306" spans="1:77" x14ac:dyDescent="0.35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  <c r="AU306" s="36"/>
      <c r="AV306" s="36"/>
      <c r="AW306" s="36"/>
      <c r="AX306" s="36"/>
      <c r="AY306" s="36"/>
      <c r="AZ306" s="36"/>
      <c r="BA306" s="36"/>
      <c r="BB306" s="36"/>
      <c r="BC306" s="36"/>
      <c r="BD306" s="36"/>
      <c r="BE306" s="36"/>
      <c r="BF306" s="36"/>
      <c r="BG306" s="36"/>
      <c r="BH306" s="36"/>
      <c r="BI306" s="36"/>
      <c r="BJ306" s="36"/>
      <c r="BK306" s="36"/>
      <c r="BL306" s="36"/>
      <c r="BM306" s="36"/>
      <c r="BN306" s="36"/>
      <c r="BO306" s="36"/>
      <c r="BP306" s="36"/>
      <c r="BQ306" s="36"/>
      <c r="BR306" s="36"/>
      <c r="BS306" s="36"/>
      <c r="BT306" s="36"/>
      <c r="BU306" s="36"/>
      <c r="BV306" s="36"/>
      <c r="BW306" s="36"/>
      <c r="BX306" s="36"/>
      <c r="BY306" s="36"/>
    </row>
    <row r="307" spans="1:77" x14ac:dyDescent="0.35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  <c r="AU307" s="36"/>
      <c r="AV307" s="36"/>
      <c r="AW307" s="36"/>
      <c r="AX307" s="36"/>
      <c r="AY307" s="36"/>
      <c r="AZ307" s="36"/>
      <c r="BA307" s="36"/>
      <c r="BB307" s="36"/>
      <c r="BC307" s="36"/>
      <c r="BD307" s="36"/>
      <c r="BE307" s="36"/>
      <c r="BF307" s="36"/>
      <c r="BG307" s="36"/>
      <c r="BH307" s="36"/>
      <c r="BI307" s="36"/>
      <c r="BJ307" s="36"/>
      <c r="BK307" s="36"/>
      <c r="BL307" s="36"/>
      <c r="BM307" s="36"/>
      <c r="BN307" s="36"/>
      <c r="BO307" s="36"/>
      <c r="BP307" s="36"/>
      <c r="BQ307" s="36"/>
      <c r="BR307" s="36"/>
      <c r="BS307" s="36"/>
      <c r="BT307" s="36"/>
      <c r="BU307" s="36"/>
      <c r="BV307" s="36"/>
      <c r="BW307" s="36"/>
      <c r="BX307" s="36"/>
      <c r="BY307" s="36"/>
    </row>
    <row r="308" spans="1:77" x14ac:dyDescent="0.35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  <c r="AU308" s="36"/>
      <c r="AV308" s="36"/>
      <c r="AW308" s="36"/>
      <c r="AX308" s="36"/>
      <c r="AY308" s="36"/>
      <c r="AZ308" s="36"/>
      <c r="BA308" s="36"/>
      <c r="BB308" s="36"/>
      <c r="BC308" s="36"/>
      <c r="BD308" s="36"/>
      <c r="BE308" s="36"/>
      <c r="BF308" s="36"/>
      <c r="BG308" s="36"/>
      <c r="BH308" s="36"/>
      <c r="BI308" s="36"/>
      <c r="BJ308" s="36"/>
      <c r="BK308" s="36"/>
      <c r="BL308" s="36"/>
      <c r="BM308" s="36"/>
      <c r="BN308" s="36"/>
      <c r="BO308" s="36"/>
      <c r="BP308" s="36"/>
      <c r="BQ308" s="36"/>
      <c r="BR308" s="36"/>
      <c r="BS308" s="36"/>
      <c r="BT308" s="36"/>
      <c r="BU308" s="36"/>
      <c r="BV308" s="36"/>
      <c r="BW308" s="36"/>
      <c r="BX308" s="36"/>
      <c r="BY308" s="36"/>
    </row>
    <row r="309" spans="1:77" x14ac:dyDescent="0.35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  <c r="AU309" s="36"/>
      <c r="AV309" s="36"/>
      <c r="AW309" s="36"/>
      <c r="AX309" s="36"/>
      <c r="AY309" s="36"/>
      <c r="AZ309" s="36"/>
      <c r="BA309" s="36"/>
      <c r="BB309" s="36"/>
      <c r="BC309" s="36"/>
      <c r="BD309" s="36"/>
      <c r="BE309" s="36"/>
      <c r="BF309" s="36"/>
      <c r="BG309" s="36"/>
      <c r="BH309" s="36"/>
      <c r="BI309" s="36"/>
      <c r="BJ309" s="36"/>
      <c r="BK309" s="36"/>
      <c r="BL309" s="36"/>
      <c r="BM309" s="36"/>
      <c r="BN309" s="36"/>
      <c r="BO309" s="36"/>
      <c r="BP309" s="36"/>
      <c r="BQ309" s="36"/>
      <c r="BR309" s="36"/>
      <c r="BS309" s="36"/>
      <c r="BT309" s="36"/>
      <c r="BU309" s="36"/>
      <c r="BV309" s="36"/>
      <c r="BW309" s="36"/>
      <c r="BX309" s="36"/>
      <c r="BY309" s="36"/>
    </row>
    <row r="310" spans="1:77" x14ac:dyDescent="0.35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36"/>
      <c r="BL310" s="36"/>
      <c r="BM310" s="36"/>
      <c r="BN310" s="36"/>
      <c r="BO310" s="36"/>
      <c r="BP310" s="36"/>
      <c r="BQ310" s="36"/>
      <c r="BR310" s="36"/>
      <c r="BS310" s="36"/>
      <c r="BT310" s="36"/>
      <c r="BU310" s="36"/>
      <c r="BV310" s="36"/>
      <c r="BW310" s="36"/>
      <c r="BX310" s="36"/>
      <c r="BY310" s="36"/>
    </row>
    <row r="311" spans="1:77" x14ac:dyDescent="0.35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  <c r="AU311" s="36"/>
      <c r="AV311" s="36"/>
      <c r="AW311" s="36"/>
      <c r="AX311" s="36"/>
      <c r="AY311" s="36"/>
      <c r="AZ311" s="36"/>
      <c r="BA311" s="36"/>
      <c r="BB311" s="36"/>
      <c r="BC311" s="36"/>
      <c r="BD311" s="36"/>
      <c r="BE311" s="36"/>
      <c r="BF311" s="36"/>
      <c r="BG311" s="36"/>
      <c r="BH311" s="36"/>
      <c r="BI311" s="36"/>
      <c r="BJ311" s="36"/>
      <c r="BK311" s="36"/>
      <c r="BL311" s="36"/>
      <c r="BM311" s="36"/>
      <c r="BN311" s="36"/>
      <c r="BO311" s="36"/>
      <c r="BP311" s="36"/>
      <c r="BQ311" s="36"/>
      <c r="BR311" s="36"/>
      <c r="BS311" s="36"/>
      <c r="BT311" s="36"/>
      <c r="BU311" s="36"/>
      <c r="BV311" s="36"/>
      <c r="BW311" s="36"/>
      <c r="BX311" s="36"/>
      <c r="BY311" s="36"/>
    </row>
    <row r="312" spans="1:77" x14ac:dyDescent="0.35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  <c r="AU312" s="36"/>
      <c r="AV312" s="36"/>
      <c r="AW312" s="36"/>
      <c r="AX312" s="36"/>
      <c r="AY312" s="36"/>
      <c r="AZ312" s="36"/>
      <c r="BA312" s="36"/>
      <c r="BB312" s="36"/>
      <c r="BC312" s="36"/>
      <c r="BD312" s="36"/>
      <c r="BE312" s="36"/>
      <c r="BF312" s="36"/>
      <c r="BG312" s="36"/>
      <c r="BH312" s="36"/>
      <c r="BI312" s="36"/>
      <c r="BJ312" s="36"/>
      <c r="BK312" s="36"/>
      <c r="BL312" s="36"/>
      <c r="BM312" s="36"/>
      <c r="BN312" s="36"/>
      <c r="BO312" s="36"/>
      <c r="BP312" s="36"/>
      <c r="BQ312" s="36"/>
      <c r="BR312" s="36"/>
      <c r="BS312" s="36"/>
      <c r="BT312" s="36"/>
      <c r="BU312" s="36"/>
      <c r="BV312" s="36"/>
      <c r="BW312" s="36"/>
      <c r="BX312" s="36"/>
      <c r="BY312" s="36"/>
    </row>
    <row r="313" spans="1:77" x14ac:dyDescent="0.35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  <c r="AU313" s="36"/>
      <c r="AV313" s="36"/>
      <c r="AW313" s="36"/>
      <c r="AX313" s="36"/>
      <c r="AY313" s="36"/>
      <c r="AZ313" s="36"/>
      <c r="BA313" s="36"/>
      <c r="BB313" s="36"/>
      <c r="BC313" s="36"/>
      <c r="BD313" s="36"/>
      <c r="BE313" s="36"/>
      <c r="BF313" s="36"/>
      <c r="BG313" s="36"/>
      <c r="BH313" s="36"/>
      <c r="BI313" s="36"/>
      <c r="BJ313" s="36"/>
      <c r="BK313" s="36"/>
      <c r="BL313" s="36"/>
      <c r="BM313" s="36"/>
      <c r="BN313" s="36"/>
      <c r="BO313" s="36"/>
      <c r="BP313" s="36"/>
      <c r="BQ313" s="36"/>
      <c r="BR313" s="36"/>
      <c r="BS313" s="36"/>
      <c r="BT313" s="36"/>
      <c r="BU313" s="36"/>
      <c r="BV313" s="36"/>
      <c r="BW313" s="36"/>
      <c r="BX313" s="36"/>
      <c r="BY313" s="36"/>
    </row>
    <row r="314" spans="1:77" x14ac:dyDescent="0.35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  <c r="AU314" s="36"/>
      <c r="AV314" s="36"/>
      <c r="AW314" s="36"/>
      <c r="AX314" s="36"/>
      <c r="AY314" s="36"/>
      <c r="AZ314" s="36"/>
      <c r="BA314" s="36"/>
      <c r="BB314" s="36"/>
      <c r="BC314" s="36"/>
      <c r="BD314" s="36"/>
      <c r="BE314" s="36"/>
      <c r="BF314" s="36"/>
      <c r="BG314" s="36"/>
      <c r="BH314" s="36"/>
      <c r="BI314" s="36"/>
      <c r="BJ314" s="36"/>
      <c r="BK314" s="36"/>
      <c r="BL314" s="36"/>
      <c r="BM314" s="36"/>
      <c r="BN314" s="36"/>
      <c r="BO314" s="36"/>
      <c r="BP314" s="36"/>
      <c r="BQ314" s="36"/>
      <c r="BR314" s="36"/>
      <c r="BS314" s="36"/>
      <c r="BT314" s="36"/>
      <c r="BU314" s="36"/>
      <c r="BV314" s="36"/>
      <c r="BW314" s="36"/>
      <c r="BX314" s="36"/>
      <c r="BY314" s="36"/>
    </row>
    <row r="315" spans="1:77" x14ac:dyDescent="0.35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  <c r="AU315" s="36"/>
      <c r="AV315" s="36"/>
      <c r="AW315" s="36"/>
      <c r="AX315" s="36"/>
      <c r="AY315" s="36"/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36"/>
      <c r="BL315" s="36"/>
      <c r="BM315" s="36"/>
      <c r="BN315" s="36"/>
      <c r="BO315" s="36"/>
      <c r="BP315" s="36"/>
      <c r="BQ315" s="36"/>
      <c r="BR315" s="36"/>
      <c r="BS315" s="36"/>
      <c r="BT315" s="36"/>
      <c r="BU315" s="36"/>
      <c r="BV315" s="36"/>
      <c r="BW315" s="36"/>
      <c r="BX315" s="36"/>
      <c r="BY315" s="36"/>
    </row>
    <row r="316" spans="1:77" x14ac:dyDescent="0.35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  <c r="AU316" s="36"/>
      <c r="AV316" s="36"/>
      <c r="AW316" s="36"/>
      <c r="AX316" s="36"/>
      <c r="AY316" s="36"/>
      <c r="AZ316" s="36"/>
      <c r="BA316" s="36"/>
      <c r="BB316" s="36"/>
      <c r="BC316" s="36"/>
      <c r="BD316" s="36"/>
      <c r="BE316" s="36"/>
      <c r="BF316" s="36"/>
      <c r="BG316" s="36"/>
      <c r="BH316" s="36"/>
      <c r="BI316" s="36"/>
      <c r="BJ316" s="36"/>
      <c r="BK316" s="36"/>
      <c r="BL316" s="36"/>
      <c r="BM316" s="36"/>
      <c r="BN316" s="36"/>
      <c r="BO316" s="36"/>
      <c r="BP316" s="36"/>
      <c r="BQ316" s="36"/>
      <c r="BR316" s="36"/>
      <c r="BS316" s="36"/>
      <c r="BT316" s="36"/>
      <c r="BU316" s="36"/>
      <c r="BV316" s="36"/>
      <c r="BW316" s="36"/>
      <c r="BX316" s="36"/>
      <c r="BY316" s="36"/>
    </row>
    <row r="317" spans="1:77" x14ac:dyDescent="0.35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  <c r="AU317" s="36"/>
      <c r="AV317" s="36"/>
      <c r="AW317" s="36"/>
      <c r="AX317" s="36"/>
      <c r="AY317" s="36"/>
      <c r="AZ317" s="36"/>
      <c r="BA317" s="36"/>
      <c r="BB317" s="36"/>
      <c r="BC317" s="36"/>
      <c r="BD317" s="36"/>
      <c r="BE317" s="36"/>
      <c r="BF317" s="36"/>
      <c r="BG317" s="36"/>
      <c r="BH317" s="36"/>
      <c r="BI317" s="36"/>
      <c r="BJ317" s="36"/>
      <c r="BK317" s="36"/>
      <c r="BL317" s="36"/>
      <c r="BM317" s="36"/>
      <c r="BN317" s="36"/>
      <c r="BO317" s="36"/>
      <c r="BP317" s="36"/>
      <c r="BQ317" s="36"/>
      <c r="BR317" s="36"/>
      <c r="BS317" s="36"/>
      <c r="BT317" s="36"/>
      <c r="BU317" s="36"/>
      <c r="BV317" s="36"/>
      <c r="BW317" s="36"/>
      <c r="BX317" s="36"/>
      <c r="BY317" s="36"/>
    </row>
    <row r="318" spans="1:77" x14ac:dyDescent="0.35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  <c r="AU318" s="36"/>
      <c r="AV318" s="36"/>
      <c r="AW318" s="36"/>
      <c r="AX318" s="36"/>
      <c r="AY318" s="36"/>
      <c r="AZ318" s="36"/>
      <c r="BA318" s="36"/>
      <c r="BB318" s="36"/>
      <c r="BC318" s="36"/>
      <c r="BD318" s="36"/>
      <c r="BE318" s="36"/>
      <c r="BF318" s="36"/>
      <c r="BG318" s="36"/>
      <c r="BH318" s="36"/>
      <c r="BI318" s="36"/>
      <c r="BJ318" s="36"/>
      <c r="BK318" s="36"/>
      <c r="BL318" s="36"/>
      <c r="BM318" s="36"/>
      <c r="BN318" s="36"/>
      <c r="BO318" s="36"/>
      <c r="BP318" s="36"/>
      <c r="BQ318" s="36"/>
      <c r="BR318" s="36"/>
      <c r="BS318" s="36"/>
      <c r="BT318" s="36"/>
      <c r="BU318" s="36"/>
      <c r="BV318" s="36"/>
      <c r="BW318" s="36"/>
      <c r="BX318" s="36"/>
      <c r="BY318" s="36"/>
    </row>
    <row r="319" spans="1:77" x14ac:dyDescent="0.35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36"/>
      <c r="BD319" s="36"/>
      <c r="BE319" s="36"/>
      <c r="BF319" s="36"/>
      <c r="BG319" s="36"/>
      <c r="BH319" s="36"/>
      <c r="BI319" s="36"/>
      <c r="BJ319" s="36"/>
      <c r="BK319" s="36"/>
      <c r="BL319" s="36"/>
      <c r="BM319" s="36"/>
      <c r="BN319" s="36"/>
      <c r="BO319" s="36"/>
      <c r="BP319" s="36"/>
      <c r="BQ319" s="36"/>
      <c r="BR319" s="36"/>
      <c r="BS319" s="36"/>
      <c r="BT319" s="36"/>
      <c r="BU319" s="36"/>
      <c r="BV319" s="36"/>
      <c r="BW319" s="36"/>
      <c r="BX319" s="36"/>
      <c r="BY319" s="36"/>
    </row>
    <row r="320" spans="1:77" x14ac:dyDescent="0.35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  <c r="AU320" s="36"/>
      <c r="AV320" s="36"/>
      <c r="AW320" s="36"/>
      <c r="AX320" s="36"/>
      <c r="AY320" s="36"/>
      <c r="AZ320" s="36"/>
      <c r="BA320" s="36"/>
      <c r="BB320" s="36"/>
      <c r="BC320" s="36"/>
      <c r="BD320" s="36"/>
      <c r="BE320" s="36"/>
      <c r="BF320" s="36"/>
      <c r="BG320" s="36"/>
      <c r="BH320" s="36"/>
      <c r="BI320" s="36"/>
      <c r="BJ320" s="36"/>
      <c r="BK320" s="36"/>
      <c r="BL320" s="36"/>
      <c r="BM320" s="36"/>
      <c r="BN320" s="36"/>
      <c r="BO320" s="36"/>
      <c r="BP320" s="36"/>
      <c r="BQ320" s="36"/>
      <c r="BR320" s="36"/>
      <c r="BS320" s="36"/>
      <c r="BT320" s="36"/>
      <c r="BU320" s="36"/>
      <c r="BV320" s="36"/>
      <c r="BW320" s="36"/>
      <c r="BX320" s="36"/>
      <c r="BY320" s="36"/>
    </row>
    <row r="321" spans="1:77" x14ac:dyDescent="0.35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  <c r="AU321" s="36"/>
      <c r="AV321" s="36"/>
      <c r="AW321" s="36"/>
      <c r="AX321" s="36"/>
      <c r="AY321" s="36"/>
      <c r="AZ321" s="36"/>
      <c r="BA321" s="36"/>
      <c r="BB321" s="36"/>
      <c r="BC321" s="36"/>
      <c r="BD321" s="36"/>
      <c r="BE321" s="36"/>
      <c r="BF321" s="36"/>
      <c r="BG321" s="36"/>
      <c r="BH321" s="36"/>
      <c r="BI321" s="36"/>
      <c r="BJ321" s="36"/>
      <c r="BK321" s="36"/>
      <c r="BL321" s="36"/>
      <c r="BM321" s="36"/>
      <c r="BN321" s="36"/>
      <c r="BO321" s="36"/>
      <c r="BP321" s="36"/>
      <c r="BQ321" s="36"/>
      <c r="BR321" s="36"/>
      <c r="BS321" s="36"/>
      <c r="BT321" s="36"/>
      <c r="BU321" s="36"/>
      <c r="BV321" s="36"/>
      <c r="BW321" s="36"/>
      <c r="BX321" s="36"/>
      <c r="BY321" s="36"/>
    </row>
    <row r="322" spans="1:77" x14ac:dyDescent="0.35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  <c r="AU322" s="36"/>
      <c r="AV322" s="36"/>
      <c r="AW322" s="36"/>
      <c r="AX322" s="36"/>
      <c r="AY322" s="36"/>
      <c r="AZ322" s="36"/>
      <c r="BA322" s="36"/>
      <c r="BB322" s="36"/>
      <c r="BC322" s="36"/>
      <c r="BD322" s="36"/>
      <c r="BE322" s="36"/>
      <c r="BF322" s="36"/>
      <c r="BG322" s="36"/>
      <c r="BH322" s="36"/>
      <c r="BI322" s="36"/>
      <c r="BJ322" s="36"/>
      <c r="BK322" s="36"/>
      <c r="BL322" s="36"/>
      <c r="BM322" s="36"/>
      <c r="BN322" s="36"/>
      <c r="BO322" s="36"/>
      <c r="BP322" s="36"/>
      <c r="BQ322" s="36"/>
      <c r="BR322" s="36"/>
      <c r="BS322" s="36"/>
      <c r="BT322" s="36"/>
      <c r="BU322" s="36"/>
      <c r="BV322" s="36"/>
      <c r="BW322" s="36"/>
      <c r="BX322" s="36"/>
      <c r="BY322" s="36"/>
    </row>
    <row r="323" spans="1:77" x14ac:dyDescent="0.35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  <c r="AU323" s="36"/>
      <c r="AV323" s="36"/>
      <c r="AW323" s="36"/>
      <c r="AX323" s="36"/>
      <c r="AY323" s="36"/>
      <c r="AZ323" s="36"/>
      <c r="BA323" s="36"/>
      <c r="BB323" s="36"/>
      <c r="BC323" s="36"/>
      <c r="BD323" s="36"/>
      <c r="BE323" s="36"/>
      <c r="BF323" s="36"/>
      <c r="BG323" s="36"/>
      <c r="BH323" s="36"/>
      <c r="BI323" s="36"/>
      <c r="BJ323" s="36"/>
      <c r="BK323" s="36"/>
      <c r="BL323" s="36"/>
      <c r="BM323" s="36"/>
      <c r="BN323" s="36"/>
      <c r="BO323" s="36"/>
      <c r="BP323" s="36"/>
      <c r="BQ323" s="36"/>
      <c r="BR323" s="36"/>
      <c r="BS323" s="36"/>
      <c r="BT323" s="36"/>
      <c r="BU323" s="36"/>
      <c r="BV323" s="36"/>
      <c r="BW323" s="36"/>
      <c r="BX323" s="36"/>
      <c r="BY323" s="36"/>
    </row>
    <row r="324" spans="1:77" x14ac:dyDescent="0.35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  <c r="AU324" s="36"/>
      <c r="AV324" s="36"/>
      <c r="AW324" s="36"/>
      <c r="AX324" s="36"/>
      <c r="AY324" s="36"/>
      <c r="AZ324" s="36"/>
      <c r="BA324" s="36"/>
      <c r="BB324" s="36"/>
      <c r="BC324" s="36"/>
      <c r="BD324" s="36"/>
      <c r="BE324" s="36"/>
      <c r="BF324" s="36"/>
      <c r="BG324" s="36"/>
      <c r="BH324" s="36"/>
      <c r="BI324" s="36"/>
      <c r="BJ324" s="36"/>
      <c r="BK324" s="36"/>
      <c r="BL324" s="36"/>
      <c r="BM324" s="36"/>
      <c r="BN324" s="36"/>
      <c r="BO324" s="36"/>
      <c r="BP324" s="36"/>
      <c r="BQ324" s="36"/>
      <c r="BR324" s="36"/>
      <c r="BS324" s="36"/>
      <c r="BT324" s="36"/>
      <c r="BU324" s="36"/>
      <c r="BV324" s="36"/>
      <c r="BW324" s="36"/>
      <c r="BX324" s="36"/>
      <c r="BY324" s="36"/>
    </row>
    <row r="325" spans="1:77" x14ac:dyDescent="0.35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  <c r="AU325" s="36"/>
      <c r="AV325" s="36"/>
      <c r="AW325" s="36"/>
      <c r="AX325" s="36"/>
      <c r="AY325" s="36"/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  <c r="BJ325" s="36"/>
      <c r="BK325" s="36"/>
      <c r="BL325" s="36"/>
      <c r="BM325" s="36"/>
      <c r="BN325" s="36"/>
      <c r="BO325" s="36"/>
      <c r="BP325" s="36"/>
      <c r="BQ325" s="36"/>
      <c r="BR325" s="36"/>
      <c r="BS325" s="36"/>
      <c r="BT325" s="36"/>
      <c r="BU325" s="36"/>
      <c r="BV325" s="36"/>
      <c r="BW325" s="36"/>
      <c r="BX325" s="36"/>
      <c r="BY325" s="36"/>
    </row>
    <row r="326" spans="1:77" x14ac:dyDescent="0.35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  <c r="AU326" s="36"/>
      <c r="AV326" s="36"/>
      <c r="AW326" s="36"/>
      <c r="AX326" s="36"/>
      <c r="AY326" s="36"/>
      <c r="AZ326" s="36"/>
      <c r="BA326" s="36"/>
      <c r="BB326" s="36"/>
      <c r="BC326" s="36"/>
      <c r="BD326" s="36"/>
      <c r="BE326" s="36"/>
      <c r="BF326" s="36"/>
      <c r="BG326" s="36"/>
      <c r="BH326" s="36"/>
      <c r="BI326" s="36"/>
      <c r="BJ326" s="36"/>
      <c r="BK326" s="36"/>
      <c r="BL326" s="36"/>
      <c r="BM326" s="36"/>
      <c r="BN326" s="36"/>
      <c r="BO326" s="36"/>
      <c r="BP326" s="36"/>
      <c r="BQ326" s="36"/>
      <c r="BR326" s="36"/>
      <c r="BS326" s="36"/>
      <c r="BT326" s="36"/>
      <c r="BU326" s="36"/>
      <c r="BV326" s="36"/>
      <c r="BW326" s="36"/>
      <c r="BX326" s="36"/>
      <c r="BY326" s="36"/>
    </row>
    <row r="327" spans="1:77" x14ac:dyDescent="0.35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  <c r="AU327" s="36"/>
      <c r="AV327" s="36"/>
      <c r="AW327" s="36"/>
      <c r="AX327" s="36"/>
      <c r="AY327" s="36"/>
      <c r="AZ327" s="36"/>
      <c r="BA327" s="36"/>
      <c r="BB327" s="36"/>
      <c r="BC327" s="36"/>
      <c r="BD327" s="36"/>
      <c r="BE327" s="36"/>
      <c r="BF327" s="36"/>
      <c r="BG327" s="36"/>
      <c r="BH327" s="36"/>
      <c r="BI327" s="36"/>
      <c r="BJ327" s="36"/>
      <c r="BK327" s="36"/>
      <c r="BL327" s="36"/>
      <c r="BM327" s="36"/>
      <c r="BN327" s="36"/>
      <c r="BO327" s="36"/>
      <c r="BP327" s="36"/>
      <c r="BQ327" s="36"/>
      <c r="BR327" s="36"/>
      <c r="BS327" s="36"/>
      <c r="BT327" s="36"/>
      <c r="BU327" s="36"/>
      <c r="BV327" s="36"/>
      <c r="BW327" s="36"/>
      <c r="BX327" s="36"/>
      <c r="BY327" s="36"/>
    </row>
    <row r="328" spans="1:77" x14ac:dyDescent="0.35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  <c r="AU328" s="36"/>
      <c r="AV328" s="36"/>
      <c r="AW328" s="36"/>
      <c r="AX328" s="36"/>
      <c r="AY328" s="36"/>
      <c r="AZ328" s="36"/>
      <c r="BA328" s="36"/>
      <c r="BB328" s="36"/>
      <c r="BC328" s="36"/>
      <c r="BD328" s="36"/>
      <c r="BE328" s="36"/>
      <c r="BF328" s="36"/>
      <c r="BG328" s="36"/>
      <c r="BH328" s="36"/>
      <c r="BI328" s="36"/>
      <c r="BJ328" s="36"/>
      <c r="BK328" s="36"/>
      <c r="BL328" s="36"/>
      <c r="BM328" s="36"/>
      <c r="BN328" s="36"/>
      <c r="BO328" s="36"/>
      <c r="BP328" s="36"/>
      <c r="BQ328" s="36"/>
      <c r="BR328" s="36"/>
      <c r="BS328" s="36"/>
      <c r="BT328" s="36"/>
      <c r="BU328" s="36"/>
      <c r="BV328" s="36"/>
      <c r="BW328" s="36"/>
      <c r="BX328" s="36"/>
      <c r="BY328" s="36"/>
    </row>
    <row r="329" spans="1:77" x14ac:dyDescent="0.35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  <c r="AU329" s="36"/>
      <c r="AV329" s="36"/>
      <c r="AW329" s="36"/>
      <c r="AX329" s="36"/>
      <c r="AY329" s="36"/>
      <c r="AZ329" s="36"/>
      <c r="BA329" s="36"/>
      <c r="BB329" s="36"/>
      <c r="BC329" s="36"/>
      <c r="BD329" s="36"/>
      <c r="BE329" s="36"/>
      <c r="BF329" s="36"/>
      <c r="BG329" s="36"/>
      <c r="BH329" s="36"/>
      <c r="BI329" s="36"/>
      <c r="BJ329" s="36"/>
      <c r="BK329" s="36"/>
      <c r="BL329" s="36"/>
      <c r="BM329" s="36"/>
      <c r="BN329" s="36"/>
      <c r="BO329" s="36"/>
      <c r="BP329" s="36"/>
      <c r="BQ329" s="36"/>
      <c r="BR329" s="36"/>
      <c r="BS329" s="36"/>
      <c r="BT329" s="36"/>
      <c r="BU329" s="36"/>
      <c r="BV329" s="36"/>
      <c r="BW329" s="36"/>
      <c r="BX329" s="36"/>
      <c r="BY329" s="36"/>
    </row>
    <row r="330" spans="1:77" x14ac:dyDescent="0.35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  <c r="AU330" s="36"/>
      <c r="AV330" s="36"/>
      <c r="AW330" s="36"/>
      <c r="AX330" s="36"/>
      <c r="AY330" s="36"/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  <c r="BJ330" s="36"/>
      <c r="BK330" s="36"/>
      <c r="BL330" s="36"/>
      <c r="BM330" s="36"/>
      <c r="BN330" s="36"/>
      <c r="BO330" s="36"/>
      <c r="BP330" s="36"/>
      <c r="BQ330" s="36"/>
      <c r="BR330" s="36"/>
      <c r="BS330" s="36"/>
      <c r="BT330" s="36"/>
      <c r="BU330" s="36"/>
      <c r="BV330" s="36"/>
      <c r="BW330" s="36"/>
      <c r="BX330" s="36"/>
      <c r="BY330" s="36"/>
    </row>
    <row r="331" spans="1:77" x14ac:dyDescent="0.35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  <c r="AU331" s="36"/>
      <c r="AV331" s="36"/>
      <c r="AW331" s="36"/>
      <c r="AX331" s="36"/>
      <c r="AY331" s="36"/>
      <c r="AZ331" s="36"/>
      <c r="BA331" s="36"/>
      <c r="BB331" s="36"/>
      <c r="BC331" s="36"/>
      <c r="BD331" s="36"/>
      <c r="BE331" s="36"/>
      <c r="BF331" s="36"/>
      <c r="BG331" s="36"/>
      <c r="BH331" s="36"/>
      <c r="BI331" s="36"/>
      <c r="BJ331" s="36"/>
      <c r="BK331" s="36"/>
      <c r="BL331" s="36"/>
      <c r="BM331" s="36"/>
      <c r="BN331" s="36"/>
      <c r="BO331" s="36"/>
      <c r="BP331" s="36"/>
      <c r="BQ331" s="36"/>
      <c r="BR331" s="36"/>
      <c r="BS331" s="36"/>
      <c r="BT331" s="36"/>
      <c r="BU331" s="36"/>
      <c r="BV331" s="36"/>
      <c r="BW331" s="36"/>
      <c r="BX331" s="36"/>
      <c r="BY331" s="36"/>
    </row>
    <row r="332" spans="1:77" x14ac:dyDescent="0.35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36"/>
      <c r="BD332" s="36"/>
      <c r="BE332" s="36"/>
      <c r="BF332" s="36"/>
      <c r="BG332" s="36"/>
      <c r="BH332" s="36"/>
      <c r="BI332" s="36"/>
      <c r="BJ332" s="36"/>
      <c r="BK332" s="36"/>
      <c r="BL332" s="36"/>
      <c r="BM332" s="36"/>
      <c r="BN332" s="36"/>
      <c r="BO332" s="36"/>
      <c r="BP332" s="36"/>
      <c r="BQ332" s="36"/>
      <c r="BR332" s="36"/>
      <c r="BS332" s="36"/>
      <c r="BT332" s="36"/>
      <c r="BU332" s="36"/>
      <c r="BV332" s="36"/>
      <c r="BW332" s="36"/>
      <c r="BX332" s="36"/>
      <c r="BY332" s="36"/>
    </row>
    <row r="333" spans="1:77" x14ac:dyDescent="0.35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  <c r="AW333" s="36"/>
      <c r="AX333" s="36"/>
      <c r="AY333" s="36"/>
      <c r="AZ333" s="36"/>
      <c r="BA333" s="36"/>
      <c r="BB333" s="36"/>
      <c r="BC333" s="36"/>
      <c r="BD333" s="36"/>
      <c r="BE333" s="36"/>
      <c r="BF333" s="36"/>
      <c r="BG333" s="36"/>
      <c r="BH333" s="36"/>
      <c r="BI333" s="36"/>
      <c r="BJ333" s="36"/>
      <c r="BK333" s="36"/>
      <c r="BL333" s="36"/>
      <c r="BM333" s="36"/>
      <c r="BN333" s="36"/>
      <c r="BO333" s="36"/>
      <c r="BP333" s="36"/>
      <c r="BQ333" s="36"/>
      <c r="BR333" s="36"/>
      <c r="BS333" s="36"/>
      <c r="BT333" s="36"/>
      <c r="BU333" s="36"/>
      <c r="BV333" s="36"/>
      <c r="BW333" s="36"/>
      <c r="BX333" s="36"/>
      <c r="BY333" s="36"/>
    </row>
    <row r="334" spans="1:77" x14ac:dyDescent="0.35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  <c r="AU334" s="36"/>
      <c r="AV334" s="36"/>
      <c r="AW334" s="36"/>
      <c r="AX334" s="36"/>
      <c r="AY334" s="36"/>
      <c r="AZ334" s="36"/>
      <c r="BA334" s="36"/>
      <c r="BB334" s="36"/>
      <c r="BC334" s="36"/>
      <c r="BD334" s="36"/>
      <c r="BE334" s="36"/>
      <c r="BF334" s="36"/>
      <c r="BG334" s="36"/>
      <c r="BH334" s="36"/>
      <c r="BI334" s="36"/>
      <c r="BJ334" s="36"/>
      <c r="BK334" s="36"/>
      <c r="BL334" s="36"/>
      <c r="BM334" s="36"/>
      <c r="BN334" s="36"/>
      <c r="BO334" s="36"/>
      <c r="BP334" s="36"/>
      <c r="BQ334" s="36"/>
      <c r="BR334" s="36"/>
      <c r="BS334" s="36"/>
      <c r="BT334" s="36"/>
      <c r="BU334" s="36"/>
      <c r="BV334" s="36"/>
      <c r="BW334" s="36"/>
      <c r="BX334" s="36"/>
      <c r="BY334" s="36"/>
    </row>
    <row r="335" spans="1:77" x14ac:dyDescent="0.35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  <c r="AU335" s="36"/>
      <c r="AV335" s="36"/>
      <c r="AW335" s="36"/>
      <c r="AX335" s="36"/>
      <c r="AY335" s="36"/>
      <c r="AZ335" s="36"/>
      <c r="BA335" s="36"/>
      <c r="BB335" s="36"/>
      <c r="BC335" s="36"/>
      <c r="BD335" s="36"/>
      <c r="BE335" s="36"/>
      <c r="BF335" s="36"/>
      <c r="BG335" s="36"/>
      <c r="BH335" s="36"/>
      <c r="BI335" s="36"/>
      <c r="BJ335" s="36"/>
      <c r="BK335" s="36"/>
      <c r="BL335" s="36"/>
      <c r="BM335" s="36"/>
      <c r="BN335" s="36"/>
      <c r="BO335" s="36"/>
      <c r="BP335" s="36"/>
      <c r="BQ335" s="36"/>
      <c r="BR335" s="36"/>
      <c r="BS335" s="36"/>
      <c r="BT335" s="36"/>
      <c r="BU335" s="36"/>
      <c r="BV335" s="36"/>
      <c r="BW335" s="36"/>
      <c r="BX335" s="36"/>
      <c r="BY335" s="36"/>
    </row>
    <row r="336" spans="1:77" x14ac:dyDescent="0.35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  <c r="AU336" s="36"/>
      <c r="AV336" s="36"/>
      <c r="AW336" s="36"/>
      <c r="AX336" s="36"/>
      <c r="AY336" s="36"/>
      <c r="AZ336" s="36"/>
      <c r="BA336" s="36"/>
      <c r="BB336" s="36"/>
      <c r="BC336" s="36"/>
      <c r="BD336" s="36"/>
      <c r="BE336" s="36"/>
      <c r="BF336" s="36"/>
      <c r="BG336" s="36"/>
      <c r="BH336" s="36"/>
      <c r="BI336" s="36"/>
      <c r="BJ336" s="36"/>
      <c r="BK336" s="36"/>
      <c r="BL336" s="36"/>
      <c r="BM336" s="36"/>
      <c r="BN336" s="36"/>
      <c r="BO336" s="36"/>
      <c r="BP336" s="36"/>
      <c r="BQ336" s="36"/>
      <c r="BR336" s="36"/>
      <c r="BS336" s="36"/>
      <c r="BT336" s="36"/>
      <c r="BU336" s="36"/>
      <c r="BV336" s="36"/>
      <c r="BW336" s="36"/>
      <c r="BX336" s="36"/>
      <c r="BY336" s="36"/>
    </row>
    <row r="337" spans="1:77" x14ac:dyDescent="0.35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  <c r="AU337" s="36"/>
      <c r="AV337" s="36"/>
      <c r="AW337" s="36"/>
      <c r="AX337" s="36"/>
      <c r="AY337" s="36"/>
      <c r="AZ337" s="36"/>
      <c r="BA337" s="36"/>
      <c r="BB337" s="36"/>
      <c r="BC337" s="36"/>
      <c r="BD337" s="36"/>
      <c r="BE337" s="36"/>
      <c r="BF337" s="36"/>
      <c r="BG337" s="36"/>
      <c r="BH337" s="36"/>
      <c r="BI337" s="36"/>
      <c r="BJ337" s="36"/>
      <c r="BK337" s="36"/>
      <c r="BL337" s="36"/>
      <c r="BM337" s="36"/>
      <c r="BN337" s="36"/>
      <c r="BO337" s="36"/>
      <c r="BP337" s="36"/>
      <c r="BQ337" s="36"/>
      <c r="BR337" s="36"/>
      <c r="BS337" s="36"/>
      <c r="BT337" s="36"/>
      <c r="BU337" s="36"/>
      <c r="BV337" s="36"/>
      <c r="BW337" s="36"/>
      <c r="BX337" s="36"/>
      <c r="BY337" s="36"/>
    </row>
    <row r="338" spans="1:77" x14ac:dyDescent="0.35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  <c r="AU338" s="36"/>
      <c r="AV338" s="36"/>
      <c r="AW338" s="36"/>
      <c r="AX338" s="36"/>
      <c r="AY338" s="36"/>
      <c r="AZ338" s="36"/>
      <c r="BA338" s="36"/>
      <c r="BB338" s="36"/>
      <c r="BC338" s="36"/>
      <c r="BD338" s="36"/>
      <c r="BE338" s="36"/>
      <c r="BF338" s="36"/>
      <c r="BG338" s="36"/>
      <c r="BH338" s="36"/>
      <c r="BI338" s="36"/>
      <c r="BJ338" s="36"/>
      <c r="BK338" s="36"/>
      <c r="BL338" s="36"/>
      <c r="BM338" s="36"/>
      <c r="BN338" s="36"/>
      <c r="BO338" s="36"/>
      <c r="BP338" s="36"/>
      <c r="BQ338" s="36"/>
      <c r="BR338" s="36"/>
      <c r="BS338" s="36"/>
      <c r="BT338" s="36"/>
      <c r="BU338" s="36"/>
      <c r="BV338" s="36"/>
      <c r="BW338" s="36"/>
      <c r="BX338" s="36"/>
      <c r="BY338" s="36"/>
    </row>
    <row r="339" spans="1:77" x14ac:dyDescent="0.35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  <c r="AU339" s="36"/>
      <c r="AV339" s="36"/>
      <c r="AW339" s="36"/>
      <c r="AX339" s="36"/>
      <c r="AY339" s="36"/>
      <c r="AZ339" s="36"/>
      <c r="BA339" s="36"/>
      <c r="BB339" s="36"/>
      <c r="BC339" s="36"/>
      <c r="BD339" s="36"/>
      <c r="BE339" s="36"/>
      <c r="BF339" s="36"/>
      <c r="BG339" s="36"/>
      <c r="BH339" s="36"/>
      <c r="BI339" s="36"/>
      <c r="BJ339" s="36"/>
      <c r="BK339" s="36"/>
      <c r="BL339" s="36"/>
      <c r="BM339" s="36"/>
      <c r="BN339" s="36"/>
      <c r="BO339" s="36"/>
      <c r="BP339" s="36"/>
      <c r="BQ339" s="36"/>
      <c r="BR339" s="36"/>
      <c r="BS339" s="36"/>
      <c r="BT339" s="36"/>
      <c r="BU339" s="36"/>
      <c r="BV339" s="36"/>
      <c r="BW339" s="36"/>
      <c r="BX339" s="36"/>
      <c r="BY339" s="36"/>
    </row>
    <row r="340" spans="1:77" x14ac:dyDescent="0.35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  <c r="AU340" s="36"/>
      <c r="AV340" s="36"/>
      <c r="AW340" s="36"/>
      <c r="AX340" s="36"/>
      <c r="AY340" s="36"/>
      <c r="AZ340" s="36"/>
      <c r="BA340" s="36"/>
      <c r="BB340" s="36"/>
      <c r="BC340" s="36"/>
      <c r="BD340" s="36"/>
      <c r="BE340" s="36"/>
      <c r="BF340" s="36"/>
      <c r="BG340" s="36"/>
      <c r="BH340" s="36"/>
      <c r="BI340" s="36"/>
      <c r="BJ340" s="36"/>
      <c r="BK340" s="36"/>
      <c r="BL340" s="36"/>
      <c r="BM340" s="36"/>
      <c r="BN340" s="36"/>
      <c r="BO340" s="36"/>
      <c r="BP340" s="36"/>
      <c r="BQ340" s="36"/>
      <c r="BR340" s="36"/>
      <c r="BS340" s="36"/>
      <c r="BT340" s="36"/>
      <c r="BU340" s="36"/>
      <c r="BV340" s="36"/>
      <c r="BW340" s="36"/>
      <c r="BX340" s="36"/>
      <c r="BY340" s="36"/>
    </row>
    <row r="341" spans="1:77" x14ac:dyDescent="0.35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  <c r="AU341" s="36"/>
      <c r="AV341" s="36"/>
      <c r="AW341" s="36"/>
      <c r="AX341" s="36"/>
      <c r="AY341" s="36"/>
      <c r="AZ341" s="36"/>
      <c r="BA341" s="36"/>
      <c r="BB341" s="36"/>
      <c r="BC341" s="36"/>
      <c r="BD341" s="36"/>
      <c r="BE341" s="36"/>
      <c r="BF341" s="36"/>
      <c r="BG341" s="36"/>
      <c r="BH341" s="36"/>
      <c r="BI341" s="36"/>
      <c r="BJ341" s="36"/>
      <c r="BK341" s="36"/>
      <c r="BL341" s="36"/>
      <c r="BM341" s="36"/>
      <c r="BN341" s="36"/>
      <c r="BO341" s="36"/>
      <c r="BP341" s="36"/>
      <c r="BQ341" s="36"/>
      <c r="BR341" s="36"/>
      <c r="BS341" s="36"/>
      <c r="BT341" s="36"/>
      <c r="BU341" s="36"/>
      <c r="BV341" s="36"/>
      <c r="BW341" s="36"/>
      <c r="BX341" s="36"/>
      <c r="BY341" s="36"/>
    </row>
    <row r="342" spans="1:77" x14ac:dyDescent="0.35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  <c r="AU342" s="36"/>
      <c r="AV342" s="36"/>
      <c r="AW342" s="36"/>
      <c r="AX342" s="36"/>
      <c r="AY342" s="36"/>
      <c r="AZ342" s="36"/>
      <c r="BA342" s="36"/>
      <c r="BB342" s="36"/>
      <c r="BC342" s="36"/>
      <c r="BD342" s="36"/>
      <c r="BE342" s="36"/>
      <c r="BF342" s="36"/>
      <c r="BG342" s="36"/>
      <c r="BH342" s="36"/>
      <c r="BI342" s="36"/>
      <c r="BJ342" s="36"/>
      <c r="BK342" s="36"/>
      <c r="BL342" s="36"/>
      <c r="BM342" s="36"/>
      <c r="BN342" s="36"/>
      <c r="BO342" s="36"/>
      <c r="BP342" s="36"/>
      <c r="BQ342" s="36"/>
      <c r="BR342" s="36"/>
      <c r="BS342" s="36"/>
      <c r="BT342" s="36"/>
      <c r="BU342" s="36"/>
      <c r="BV342" s="36"/>
      <c r="BW342" s="36"/>
      <c r="BX342" s="36"/>
      <c r="BY342" s="36"/>
    </row>
    <row r="343" spans="1:77" x14ac:dyDescent="0.35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  <c r="AU343" s="36"/>
      <c r="AV343" s="36"/>
      <c r="AW343" s="36"/>
      <c r="AX343" s="36"/>
      <c r="AY343" s="36"/>
      <c r="AZ343" s="36"/>
      <c r="BA343" s="36"/>
      <c r="BB343" s="36"/>
      <c r="BC343" s="36"/>
      <c r="BD343" s="36"/>
      <c r="BE343" s="36"/>
      <c r="BF343" s="36"/>
      <c r="BG343" s="36"/>
      <c r="BH343" s="36"/>
      <c r="BI343" s="36"/>
      <c r="BJ343" s="36"/>
      <c r="BK343" s="36"/>
      <c r="BL343" s="36"/>
      <c r="BM343" s="36"/>
      <c r="BN343" s="36"/>
      <c r="BO343" s="36"/>
      <c r="BP343" s="36"/>
      <c r="BQ343" s="36"/>
      <c r="BR343" s="36"/>
      <c r="BS343" s="36"/>
      <c r="BT343" s="36"/>
      <c r="BU343" s="36"/>
      <c r="BV343" s="36"/>
      <c r="BW343" s="36"/>
      <c r="BX343" s="36"/>
      <c r="BY343" s="36"/>
    </row>
    <row r="344" spans="1:77" x14ac:dyDescent="0.35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  <c r="AU344" s="36"/>
      <c r="AV344" s="36"/>
      <c r="AW344" s="36"/>
      <c r="AX344" s="36"/>
      <c r="AY344" s="36"/>
      <c r="AZ344" s="36"/>
      <c r="BA344" s="36"/>
      <c r="BB344" s="36"/>
      <c r="BC344" s="36"/>
      <c r="BD344" s="36"/>
      <c r="BE344" s="36"/>
      <c r="BF344" s="36"/>
      <c r="BG344" s="36"/>
      <c r="BH344" s="36"/>
      <c r="BI344" s="36"/>
      <c r="BJ344" s="36"/>
      <c r="BK344" s="36"/>
      <c r="BL344" s="36"/>
      <c r="BM344" s="36"/>
      <c r="BN344" s="36"/>
      <c r="BO344" s="36"/>
      <c r="BP344" s="36"/>
      <c r="BQ344" s="36"/>
      <c r="BR344" s="36"/>
      <c r="BS344" s="36"/>
      <c r="BT344" s="36"/>
      <c r="BU344" s="36"/>
      <c r="BV344" s="36"/>
      <c r="BW344" s="36"/>
      <c r="BX344" s="36"/>
      <c r="BY344" s="36"/>
    </row>
    <row r="345" spans="1:77" x14ac:dyDescent="0.35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  <c r="BC345" s="36"/>
      <c r="BD345" s="36"/>
      <c r="BE345" s="36"/>
      <c r="BF345" s="36"/>
      <c r="BG345" s="36"/>
      <c r="BH345" s="36"/>
      <c r="BI345" s="36"/>
      <c r="BJ345" s="36"/>
      <c r="BK345" s="36"/>
      <c r="BL345" s="36"/>
      <c r="BM345" s="36"/>
      <c r="BN345" s="36"/>
      <c r="BO345" s="36"/>
      <c r="BP345" s="36"/>
      <c r="BQ345" s="36"/>
      <c r="BR345" s="36"/>
      <c r="BS345" s="36"/>
      <c r="BT345" s="36"/>
      <c r="BU345" s="36"/>
      <c r="BV345" s="36"/>
      <c r="BW345" s="36"/>
      <c r="BX345" s="36"/>
      <c r="BY345" s="36"/>
    </row>
    <row r="346" spans="1:77" x14ac:dyDescent="0.35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  <c r="AU346" s="36"/>
      <c r="AV346" s="36"/>
      <c r="AW346" s="36"/>
      <c r="AX346" s="36"/>
      <c r="AY346" s="36"/>
      <c r="AZ346" s="36"/>
      <c r="BA346" s="36"/>
      <c r="BB346" s="36"/>
      <c r="BC346" s="36"/>
      <c r="BD346" s="36"/>
      <c r="BE346" s="36"/>
      <c r="BF346" s="36"/>
      <c r="BG346" s="36"/>
      <c r="BH346" s="36"/>
      <c r="BI346" s="36"/>
      <c r="BJ346" s="36"/>
      <c r="BK346" s="36"/>
      <c r="BL346" s="36"/>
      <c r="BM346" s="36"/>
      <c r="BN346" s="36"/>
      <c r="BO346" s="36"/>
      <c r="BP346" s="36"/>
      <c r="BQ346" s="36"/>
      <c r="BR346" s="36"/>
      <c r="BS346" s="36"/>
      <c r="BT346" s="36"/>
      <c r="BU346" s="36"/>
      <c r="BV346" s="36"/>
      <c r="BW346" s="36"/>
      <c r="BX346" s="36"/>
      <c r="BY346" s="36"/>
    </row>
    <row r="347" spans="1:77" x14ac:dyDescent="0.35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  <c r="AU347" s="36"/>
      <c r="AV347" s="36"/>
      <c r="AW347" s="36"/>
      <c r="AX347" s="36"/>
      <c r="AY347" s="36"/>
      <c r="AZ347" s="36"/>
      <c r="BA347" s="36"/>
      <c r="BB347" s="36"/>
      <c r="BC347" s="36"/>
      <c r="BD347" s="36"/>
      <c r="BE347" s="36"/>
      <c r="BF347" s="36"/>
      <c r="BG347" s="36"/>
      <c r="BH347" s="36"/>
      <c r="BI347" s="36"/>
      <c r="BJ347" s="36"/>
      <c r="BK347" s="36"/>
      <c r="BL347" s="36"/>
      <c r="BM347" s="36"/>
      <c r="BN347" s="36"/>
      <c r="BO347" s="36"/>
      <c r="BP347" s="36"/>
      <c r="BQ347" s="36"/>
      <c r="BR347" s="36"/>
      <c r="BS347" s="36"/>
      <c r="BT347" s="36"/>
      <c r="BU347" s="36"/>
      <c r="BV347" s="36"/>
      <c r="BW347" s="36"/>
      <c r="BX347" s="36"/>
      <c r="BY347" s="36"/>
    </row>
    <row r="348" spans="1:77" x14ac:dyDescent="0.35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  <c r="AU348" s="36"/>
      <c r="AV348" s="36"/>
      <c r="AW348" s="36"/>
      <c r="AX348" s="36"/>
      <c r="AY348" s="36"/>
      <c r="AZ348" s="36"/>
      <c r="BA348" s="36"/>
      <c r="BB348" s="36"/>
      <c r="BC348" s="36"/>
      <c r="BD348" s="36"/>
      <c r="BE348" s="36"/>
      <c r="BF348" s="36"/>
      <c r="BG348" s="36"/>
      <c r="BH348" s="36"/>
      <c r="BI348" s="36"/>
      <c r="BJ348" s="36"/>
      <c r="BK348" s="36"/>
      <c r="BL348" s="36"/>
      <c r="BM348" s="36"/>
      <c r="BN348" s="36"/>
      <c r="BO348" s="36"/>
      <c r="BP348" s="36"/>
      <c r="BQ348" s="36"/>
      <c r="BR348" s="36"/>
      <c r="BS348" s="36"/>
      <c r="BT348" s="36"/>
      <c r="BU348" s="36"/>
      <c r="BV348" s="36"/>
      <c r="BW348" s="36"/>
      <c r="BX348" s="36"/>
      <c r="BY348" s="36"/>
    </row>
    <row r="349" spans="1:77" x14ac:dyDescent="0.35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  <c r="AU349" s="36"/>
      <c r="AV349" s="36"/>
      <c r="AW349" s="36"/>
      <c r="AX349" s="36"/>
      <c r="AY349" s="36"/>
      <c r="AZ349" s="36"/>
      <c r="BA349" s="36"/>
      <c r="BB349" s="36"/>
      <c r="BC349" s="36"/>
      <c r="BD349" s="36"/>
      <c r="BE349" s="36"/>
      <c r="BF349" s="36"/>
      <c r="BG349" s="36"/>
      <c r="BH349" s="36"/>
      <c r="BI349" s="36"/>
      <c r="BJ349" s="36"/>
      <c r="BK349" s="36"/>
      <c r="BL349" s="36"/>
      <c r="BM349" s="36"/>
      <c r="BN349" s="36"/>
      <c r="BO349" s="36"/>
      <c r="BP349" s="36"/>
      <c r="BQ349" s="36"/>
      <c r="BR349" s="36"/>
      <c r="BS349" s="36"/>
      <c r="BT349" s="36"/>
      <c r="BU349" s="36"/>
      <c r="BV349" s="36"/>
      <c r="BW349" s="36"/>
      <c r="BX349" s="36"/>
      <c r="BY349" s="36"/>
    </row>
    <row r="350" spans="1:77" x14ac:dyDescent="0.35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  <c r="AU350" s="36"/>
      <c r="AV350" s="36"/>
      <c r="AW350" s="36"/>
      <c r="AX350" s="36"/>
      <c r="AY350" s="36"/>
      <c r="AZ350" s="36"/>
      <c r="BA350" s="36"/>
      <c r="BB350" s="36"/>
      <c r="BC350" s="36"/>
      <c r="BD350" s="36"/>
      <c r="BE350" s="36"/>
      <c r="BF350" s="36"/>
      <c r="BG350" s="36"/>
      <c r="BH350" s="36"/>
      <c r="BI350" s="36"/>
      <c r="BJ350" s="36"/>
      <c r="BK350" s="36"/>
      <c r="BL350" s="36"/>
      <c r="BM350" s="36"/>
      <c r="BN350" s="36"/>
      <c r="BO350" s="36"/>
      <c r="BP350" s="36"/>
      <c r="BQ350" s="36"/>
      <c r="BR350" s="36"/>
      <c r="BS350" s="36"/>
      <c r="BT350" s="36"/>
      <c r="BU350" s="36"/>
      <c r="BV350" s="36"/>
      <c r="BW350" s="36"/>
      <c r="BX350" s="36"/>
      <c r="BY350" s="36"/>
    </row>
    <row r="351" spans="1:77" x14ac:dyDescent="0.35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  <c r="AU351" s="36"/>
      <c r="AV351" s="36"/>
      <c r="AW351" s="36"/>
      <c r="AX351" s="36"/>
      <c r="AY351" s="36"/>
      <c r="AZ351" s="36"/>
      <c r="BA351" s="36"/>
      <c r="BB351" s="36"/>
      <c r="BC351" s="36"/>
      <c r="BD351" s="36"/>
      <c r="BE351" s="36"/>
      <c r="BF351" s="36"/>
      <c r="BG351" s="36"/>
      <c r="BH351" s="36"/>
      <c r="BI351" s="36"/>
      <c r="BJ351" s="36"/>
      <c r="BK351" s="36"/>
      <c r="BL351" s="36"/>
      <c r="BM351" s="36"/>
      <c r="BN351" s="36"/>
      <c r="BO351" s="36"/>
      <c r="BP351" s="36"/>
      <c r="BQ351" s="36"/>
      <c r="BR351" s="36"/>
      <c r="BS351" s="36"/>
      <c r="BT351" s="36"/>
      <c r="BU351" s="36"/>
      <c r="BV351" s="36"/>
      <c r="BW351" s="36"/>
      <c r="BX351" s="36"/>
      <c r="BY351" s="36"/>
    </row>
    <row r="352" spans="1:77" x14ac:dyDescent="0.35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  <c r="AU352" s="36"/>
      <c r="AV352" s="36"/>
      <c r="AW352" s="36"/>
      <c r="AX352" s="36"/>
      <c r="AY352" s="36"/>
      <c r="AZ352" s="36"/>
      <c r="BA352" s="36"/>
      <c r="BB352" s="36"/>
      <c r="BC352" s="36"/>
      <c r="BD352" s="36"/>
      <c r="BE352" s="36"/>
      <c r="BF352" s="36"/>
      <c r="BG352" s="36"/>
      <c r="BH352" s="36"/>
      <c r="BI352" s="36"/>
      <c r="BJ352" s="36"/>
      <c r="BK352" s="36"/>
      <c r="BL352" s="36"/>
      <c r="BM352" s="36"/>
      <c r="BN352" s="36"/>
      <c r="BO352" s="36"/>
      <c r="BP352" s="36"/>
      <c r="BQ352" s="36"/>
      <c r="BR352" s="36"/>
      <c r="BS352" s="36"/>
      <c r="BT352" s="36"/>
      <c r="BU352" s="36"/>
      <c r="BV352" s="36"/>
      <c r="BW352" s="36"/>
      <c r="BX352" s="36"/>
      <c r="BY352" s="36"/>
    </row>
    <row r="353" spans="1:77" x14ac:dyDescent="0.35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  <c r="AU353" s="36"/>
      <c r="AV353" s="36"/>
      <c r="AW353" s="36"/>
      <c r="AX353" s="36"/>
      <c r="AY353" s="36"/>
      <c r="AZ353" s="36"/>
      <c r="BA353" s="36"/>
      <c r="BB353" s="36"/>
      <c r="BC353" s="36"/>
      <c r="BD353" s="36"/>
      <c r="BE353" s="36"/>
      <c r="BF353" s="36"/>
      <c r="BG353" s="36"/>
      <c r="BH353" s="36"/>
      <c r="BI353" s="36"/>
      <c r="BJ353" s="36"/>
      <c r="BK353" s="36"/>
      <c r="BL353" s="36"/>
      <c r="BM353" s="36"/>
      <c r="BN353" s="36"/>
      <c r="BO353" s="36"/>
      <c r="BP353" s="36"/>
      <c r="BQ353" s="36"/>
      <c r="BR353" s="36"/>
      <c r="BS353" s="36"/>
      <c r="BT353" s="36"/>
      <c r="BU353" s="36"/>
      <c r="BV353" s="36"/>
      <c r="BW353" s="36"/>
      <c r="BX353" s="36"/>
      <c r="BY353" s="36"/>
    </row>
    <row r="354" spans="1:77" x14ac:dyDescent="0.35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  <c r="AU354" s="36"/>
      <c r="AV354" s="36"/>
      <c r="AW354" s="36"/>
      <c r="AX354" s="36"/>
      <c r="AY354" s="36"/>
      <c r="AZ354" s="36"/>
      <c r="BA354" s="36"/>
      <c r="BB354" s="36"/>
      <c r="BC354" s="36"/>
      <c r="BD354" s="36"/>
      <c r="BE354" s="36"/>
      <c r="BF354" s="36"/>
      <c r="BG354" s="36"/>
      <c r="BH354" s="36"/>
      <c r="BI354" s="36"/>
      <c r="BJ354" s="36"/>
      <c r="BK354" s="36"/>
      <c r="BL354" s="36"/>
      <c r="BM354" s="36"/>
      <c r="BN354" s="36"/>
      <c r="BO354" s="36"/>
      <c r="BP354" s="36"/>
      <c r="BQ354" s="36"/>
      <c r="BR354" s="36"/>
      <c r="BS354" s="36"/>
      <c r="BT354" s="36"/>
      <c r="BU354" s="36"/>
      <c r="BV354" s="36"/>
      <c r="BW354" s="36"/>
      <c r="BX354" s="36"/>
      <c r="BY354" s="36"/>
    </row>
    <row r="355" spans="1:77" x14ac:dyDescent="0.35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  <c r="AU355" s="36"/>
      <c r="AV355" s="36"/>
      <c r="AW355" s="36"/>
      <c r="AX355" s="36"/>
      <c r="AY355" s="36"/>
      <c r="AZ355" s="36"/>
      <c r="BA355" s="36"/>
      <c r="BB355" s="36"/>
      <c r="BC355" s="36"/>
      <c r="BD355" s="36"/>
      <c r="BE355" s="36"/>
      <c r="BF355" s="36"/>
      <c r="BG355" s="36"/>
      <c r="BH355" s="36"/>
      <c r="BI355" s="36"/>
      <c r="BJ355" s="36"/>
      <c r="BK355" s="36"/>
      <c r="BL355" s="36"/>
      <c r="BM355" s="36"/>
      <c r="BN355" s="36"/>
      <c r="BO355" s="36"/>
      <c r="BP355" s="36"/>
      <c r="BQ355" s="36"/>
      <c r="BR355" s="36"/>
      <c r="BS355" s="36"/>
      <c r="BT355" s="36"/>
      <c r="BU355" s="36"/>
      <c r="BV355" s="36"/>
      <c r="BW355" s="36"/>
      <c r="BX355" s="36"/>
      <c r="BY355" s="36"/>
    </row>
    <row r="356" spans="1:77" x14ac:dyDescent="0.35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  <c r="AU356" s="36"/>
      <c r="AV356" s="36"/>
      <c r="AW356" s="36"/>
      <c r="AX356" s="36"/>
      <c r="AY356" s="36"/>
      <c r="AZ356" s="36"/>
      <c r="BA356" s="36"/>
      <c r="BB356" s="36"/>
      <c r="BC356" s="36"/>
      <c r="BD356" s="36"/>
      <c r="BE356" s="36"/>
      <c r="BF356" s="36"/>
      <c r="BG356" s="36"/>
      <c r="BH356" s="36"/>
      <c r="BI356" s="36"/>
      <c r="BJ356" s="36"/>
      <c r="BK356" s="36"/>
      <c r="BL356" s="36"/>
      <c r="BM356" s="36"/>
      <c r="BN356" s="36"/>
      <c r="BO356" s="36"/>
      <c r="BP356" s="36"/>
      <c r="BQ356" s="36"/>
      <c r="BR356" s="36"/>
      <c r="BS356" s="36"/>
      <c r="BT356" s="36"/>
      <c r="BU356" s="36"/>
      <c r="BV356" s="36"/>
      <c r="BW356" s="36"/>
      <c r="BX356" s="36"/>
      <c r="BY356" s="36"/>
    </row>
    <row r="357" spans="1:77" x14ac:dyDescent="0.35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  <c r="AU357" s="36"/>
      <c r="AV357" s="36"/>
      <c r="AW357" s="36"/>
      <c r="AX357" s="36"/>
      <c r="AY357" s="36"/>
      <c r="AZ357" s="36"/>
      <c r="BA357" s="36"/>
      <c r="BB357" s="36"/>
      <c r="BC357" s="36"/>
      <c r="BD357" s="36"/>
      <c r="BE357" s="36"/>
      <c r="BF357" s="36"/>
      <c r="BG357" s="36"/>
      <c r="BH357" s="36"/>
      <c r="BI357" s="36"/>
      <c r="BJ357" s="36"/>
      <c r="BK357" s="36"/>
      <c r="BL357" s="36"/>
      <c r="BM357" s="36"/>
      <c r="BN357" s="36"/>
      <c r="BO357" s="36"/>
      <c r="BP357" s="36"/>
      <c r="BQ357" s="36"/>
      <c r="BR357" s="36"/>
      <c r="BS357" s="36"/>
      <c r="BT357" s="36"/>
      <c r="BU357" s="36"/>
      <c r="BV357" s="36"/>
      <c r="BW357" s="36"/>
      <c r="BX357" s="36"/>
      <c r="BY357" s="36"/>
    </row>
    <row r="358" spans="1:77" x14ac:dyDescent="0.35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36"/>
      <c r="BD358" s="36"/>
      <c r="BE358" s="36"/>
      <c r="BF358" s="36"/>
      <c r="BG358" s="36"/>
      <c r="BH358" s="36"/>
      <c r="BI358" s="36"/>
      <c r="BJ358" s="36"/>
      <c r="BK358" s="36"/>
      <c r="BL358" s="36"/>
      <c r="BM358" s="36"/>
      <c r="BN358" s="36"/>
      <c r="BO358" s="36"/>
      <c r="BP358" s="36"/>
      <c r="BQ358" s="36"/>
      <c r="BR358" s="36"/>
      <c r="BS358" s="36"/>
      <c r="BT358" s="36"/>
      <c r="BU358" s="36"/>
      <c r="BV358" s="36"/>
      <c r="BW358" s="36"/>
      <c r="BX358" s="36"/>
      <c r="BY358" s="36"/>
    </row>
    <row r="359" spans="1:77" x14ac:dyDescent="0.35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  <c r="AU359" s="36"/>
      <c r="AV359" s="36"/>
      <c r="AW359" s="36"/>
      <c r="AX359" s="36"/>
      <c r="AY359" s="36"/>
      <c r="AZ359" s="36"/>
      <c r="BA359" s="36"/>
      <c r="BB359" s="36"/>
      <c r="BC359" s="36"/>
      <c r="BD359" s="36"/>
      <c r="BE359" s="36"/>
      <c r="BF359" s="36"/>
      <c r="BG359" s="36"/>
      <c r="BH359" s="36"/>
      <c r="BI359" s="36"/>
      <c r="BJ359" s="36"/>
      <c r="BK359" s="36"/>
      <c r="BL359" s="36"/>
      <c r="BM359" s="36"/>
      <c r="BN359" s="36"/>
      <c r="BO359" s="36"/>
      <c r="BP359" s="36"/>
      <c r="BQ359" s="36"/>
      <c r="BR359" s="36"/>
      <c r="BS359" s="36"/>
      <c r="BT359" s="36"/>
      <c r="BU359" s="36"/>
      <c r="BV359" s="36"/>
      <c r="BW359" s="36"/>
      <c r="BX359" s="36"/>
      <c r="BY359" s="36"/>
    </row>
    <row r="360" spans="1:77" x14ac:dyDescent="0.35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  <c r="AU360" s="36"/>
      <c r="AV360" s="36"/>
      <c r="AW360" s="36"/>
      <c r="AX360" s="36"/>
      <c r="AY360" s="36"/>
      <c r="AZ360" s="36"/>
      <c r="BA360" s="36"/>
      <c r="BB360" s="36"/>
      <c r="BC360" s="36"/>
      <c r="BD360" s="36"/>
      <c r="BE360" s="36"/>
      <c r="BF360" s="36"/>
      <c r="BG360" s="36"/>
      <c r="BH360" s="36"/>
      <c r="BI360" s="36"/>
      <c r="BJ360" s="36"/>
      <c r="BK360" s="36"/>
      <c r="BL360" s="36"/>
      <c r="BM360" s="36"/>
      <c r="BN360" s="36"/>
      <c r="BO360" s="36"/>
      <c r="BP360" s="36"/>
      <c r="BQ360" s="36"/>
      <c r="BR360" s="36"/>
      <c r="BS360" s="36"/>
      <c r="BT360" s="36"/>
      <c r="BU360" s="36"/>
      <c r="BV360" s="36"/>
      <c r="BW360" s="36"/>
      <c r="BX360" s="36"/>
      <c r="BY360" s="36"/>
    </row>
    <row r="361" spans="1:77" x14ac:dyDescent="0.35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  <c r="AU361" s="36"/>
      <c r="AV361" s="36"/>
      <c r="AW361" s="36"/>
      <c r="AX361" s="36"/>
      <c r="AY361" s="36"/>
      <c r="AZ361" s="36"/>
      <c r="BA361" s="36"/>
      <c r="BB361" s="36"/>
      <c r="BC361" s="36"/>
      <c r="BD361" s="36"/>
      <c r="BE361" s="36"/>
      <c r="BF361" s="36"/>
      <c r="BG361" s="36"/>
      <c r="BH361" s="36"/>
      <c r="BI361" s="36"/>
      <c r="BJ361" s="36"/>
      <c r="BK361" s="36"/>
      <c r="BL361" s="36"/>
      <c r="BM361" s="36"/>
      <c r="BN361" s="36"/>
      <c r="BO361" s="36"/>
      <c r="BP361" s="36"/>
      <c r="BQ361" s="36"/>
      <c r="BR361" s="36"/>
      <c r="BS361" s="36"/>
      <c r="BT361" s="36"/>
      <c r="BU361" s="36"/>
      <c r="BV361" s="36"/>
      <c r="BW361" s="36"/>
      <c r="BX361" s="36"/>
      <c r="BY361" s="36"/>
    </row>
    <row r="362" spans="1:77" x14ac:dyDescent="0.35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  <c r="AU362" s="36"/>
      <c r="AV362" s="36"/>
      <c r="AW362" s="36"/>
      <c r="AX362" s="36"/>
      <c r="AY362" s="36"/>
      <c r="AZ362" s="36"/>
      <c r="BA362" s="36"/>
      <c r="BB362" s="36"/>
      <c r="BC362" s="36"/>
      <c r="BD362" s="36"/>
      <c r="BE362" s="36"/>
      <c r="BF362" s="36"/>
      <c r="BG362" s="36"/>
      <c r="BH362" s="36"/>
      <c r="BI362" s="36"/>
      <c r="BJ362" s="36"/>
      <c r="BK362" s="36"/>
      <c r="BL362" s="36"/>
      <c r="BM362" s="36"/>
      <c r="BN362" s="36"/>
      <c r="BO362" s="36"/>
      <c r="BP362" s="36"/>
      <c r="BQ362" s="36"/>
      <c r="BR362" s="36"/>
      <c r="BS362" s="36"/>
      <c r="BT362" s="36"/>
      <c r="BU362" s="36"/>
      <c r="BV362" s="36"/>
      <c r="BW362" s="36"/>
      <c r="BX362" s="36"/>
      <c r="BY362" s="36"/>
    </row>
    <row r="363" spans="1:77" x14ac:dyDescent="0.35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  <c r="AU363" s="36"/>
      <c r="AV363" s="36"/>
      <c r="AW363" s="36"/>
      <c r="AX363" s="36"/>
      <c r="AY363" s="36"/>
      <c r="AZ363" s="36"/>
      <c r="BA363" s="36"/>
      <c r="BB363" s="36"/>
      <c r="BC363" s="36"/>
      <c r="BD363" s="36"/>
      <c r="BE363" s="36"/>
      <c r="BF363" s="36"/>
      <c r="BG363" s="36"/>
      <c r="BH363" s="36"/>
      <c r="BI363" s="36"/>
      <c r="BJ363" s="36"/>
      <c r="BK363" s="36"/>
      <c r="BL363" s="36"/>
      <c r="BM363" s="36"/>
      <c r="BN363" s="36"/>
      <c r="BO363" s="36"/>
      <c r="BP363" s="36"/>
      <c r="BQ363" s="36"/>
      <c r="BR363" s="36"/>
      <c r="BS363" s="36"/>
      <c r="BT363" s="36"/>
      <c r="BU363" s="36"/>
      <c r="BV363" s="36"/>
      <c r="BW363" s="36"/>
      <c r="BX363" s="36"/>
      <c r="BY363" s="36"/>
    </row>
    <row r="364" spans="1:77" x14ac:dyDescent="0.35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  <c r="AU364" s="36"/>
      <c r="AV364" s="36"/>
      <c r="AW364" s="36"/>
      <c r="AX364" s="36"/>
      <c r="AY364" s="36"/>
      <c r="AZ364" s="36"/>
      <c r="BA364" s="36"/>
      <c r="BB364" s="36"/>
      <c r="BC364" s="36"/>
      <c r="BD364" s="36"/>
      <c r="BE364" s="36"/>
      <c r="BF364" s="36"/>
      <c r="BG364" s="36"/>
      <c r="BH364" s="36"/>
      <c r="BI364" s="36"/>
      <c r="BJ364" s="36"/>
      <c r="BK364" s="36"/>
      <c r="BL364" s="36"/>
      <c r="BM364" s="36"/>
      <c r="BN364" s="36"/>
      <c r="BO364" s="36"/>
      <c r="BP364" s="36"/>
      <c r="BQ364" s="36"/>
      <c r="BR364" s="36"/>
      <c r="BS364" s="36"/>
      <c r="BT364" s="36"/>
      <c r="BU364" s="36"/>
      <c r="BV364" s="36"/>
      <c r="BW364" s="36"/>
      <c r="BX364" s="36"/>
      <c r="BY364" s="36"/>
    </row>
    <row r="365" spans="1:77" x14ac:dyDescent="0.35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  <c r="AU365" s="36"/>
      <c r="AV365" s="36"/>
      <c r="AW365" s="36"/>
      <c r="AX365" s="36"/>
      <c r="AY365" s="36"/>
      <c r="AZ365" s="36"/>
      <c r="BA365" s="36"/>
      <c r="BB365" s="36"/>
      <c r="BC365" s="36"/>
      <c r="BD365" s="36"/>
      <c r="BE365" s="36"/>
      <c r="BF365" s="36"/>
      <c r="BG365" s="36"/>
      <c r="BH365" s="36"/>
      <c r="BI365" s="36"/>
      <c r="BJ365" s="36"/>
      <c r="BK365" s="36"/>
      <c r="BL365" s="36"/>
      <c r="BM365" s="36"/>
      <c r="BN365" s="36"/>
      <c r="BO365" s="36"/>
      <c r="BP365" s="36"/>
      <c r="BQ365" s="36"/>
      <c r="BR365" s="36"/>
      <c r="BS365" s="36"/>
      <c r="BT365" s="36"/>
      <c r="BU365" s="36"/>
      <c r="BV365" s="36"/>
      <c r="BW365" s="36"/>
      <c r="BX365" s="36"/>
      <c r="BY365" s="36"/>
    </row>
    <row r="366" spans="1:77" x14ac:dyDescent="0.35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  <c r="AU366" s="36"/>
      <c r="AV366" s="36"/>
      <c r="AW366" s="36"/>
      <c r="AX366" s="36"/>
      <c r="AY366" s="36"/>
      <c r="AZ366" s="36"/>
      <c r="BA366" s="36"/>
      <c r="BB366" s="36"/>
      <c r="BC366" s="36"/>
      <c r="BD366" s="36"/>
      <c r="BE366" s="36"/>
      <c r="BF366" s="36"/>
      <c r="BG366" s="36"/>
      <c r="BH366" s="36"/>
      <c r="BI366" s="36"/>
      <c r="BJ366" s="36"/>
      <c r="BK366" s="36"/>
      <c r="BL366" s="36"/>
      <c r="BM366" s="36"/>
      <c r="BN366" s="36"/>
      <c r="BO366" s="36"/>
      <c r="BP366" s="36"/>
      <c r="BQ366" s="36"/>
      <c r="BR366" s="36"/>
      <c r="BS366" s="36"/>
      <c r="BT366" s="36"/>
      <c r="BU366" s="36"/>
      <c r="BV366" s="36"/>
      <c r="BW366" s="36"/>
      <c r="BX366" s="36"/>
      <c r="BY366" s="36"/>
    </row>
    <row r="367" spans="1:77" x14ac:dyDescent="0.35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  <c r="AU367" s="36"/>
      <c r="AV367" s="36"/>
      <c r="AW367" s="36"/>
      <c r="AX367" s="36"/>
      <c r="AY367" s="36"/>
      <c r="AZ367" s="36"/>
      <c r="BA367" s="36"/>
      <c r="BB367" s="36"/>
      <c r="BC367" s="36"/>
      <c r="BD367" s="36"/>
      <c r="BE367" s="36"/>
      <c r="BF367" s="36"/>
      <c r="BG367" s="36"/>
      <c r="BH367" s="36"/>
      <c r="BI367" s="36"/>
      <c r="BJ367" s="36"/>
      <c r="BK367" s="36"/>
      <c r="BL367" s="36"/>
      <c r="BM367" s="36"/>
      <c r="BN367" s="36"/>
      <c r="BO367" s="36"/>
      <c r="BP367" s="36"/>
      <c r="BQ367" s="36"/>
      <c r="BR367" s="36"/>
      <c r="BS367" s="36"/>
      <c r="BT367" s="36"/>
      <c r="BU367" s="36"/>
      <c r="BV367" s="36"/>
      <c r="BW367" s="36"/>
      <c r="BX367" s="36"/>
      <c r="BY367" s="36"/>
    </row>
    <row r="368" spans="1:77" x14ac:dyDescent="0.35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  <c r="AU368" s="36"/>
      <c r="AV368" s="36"/>
      <c r="AW368" s="36"/>
      <c r="AX368" s="36"/>
      <c r="AY368" s="36"/>
      <c r="AZ368" s="36"/>
      <c r="BA368" s="36"/>
      <c r="BB368" s="36"/>
      <c r="BC368" s="36"/>
      <c r="BD368" s="36"/>
      <c r="BE368" s="36"/>
      <c r="BF368" s="36"/>
      <c r="BG368" s="36"/>
      <c r="BH368" s="36"/>
      <c r="BI368" s="36"/>
      <c r="BJ368" s="36"/>
      <c r="BK368" s="36"/>
      <c r="BL368" s="36"/>
      <c r="BM368" s="36"/>
      <c r="BN368" s="36"/>
      <c r="BO368" s="36"/>
      <c r="BP368" s="36"/>
      <c r="BQ368" s="36"/>
      <c r="BR368" s="36"/>
      <c r="BS368" s="36"/>
      <c r="BT368" s="36"/>
      <c r="BU368" s="36"/>
      <c r="BV368" s="36"/>
      <c r="BW368" s="36"/>
      <c r="BX368" s="36"/>
      <c r="BY368" s="36"/>
    </row>
    <row r="369" spans="1:77" x14ac:dyDescent="0.35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  <c r="AU369" s="36"/>
      <c r="AV369" s="36"/>
      <c r="AW369" s="36"/>
      <c r="AX369" s="36"/>
      <c r="AY369" s="36"/>
      <c r="AZ369" s="36"/>
      <c r="BA369" s="36"/>
      <c r="BB369" s="36"/>
      <c r="BC369" s="36"/>
      <c r="BD369" s="36"/>
      <c r="BE369" s="36"/>
      <c r="BF369" s="36"/>
      <c r="BG369" s="36"/>
      <c r="BH369" s="36"/>
      <c r="BI369" s="36"/>
      <c r="BJ369" s="36"/>
      <c r="BK369" s="36"/>
      <c r="BL369" s="36"/>
      <c r="BM369" s="36"/>
      <c r="BN369" s="36"/>
      <c r="BO369" s="36"/>
      <c r="BP369" s="36"/>
      <c r="BQ369" s="36"/>
      <c r="BR369" s="36"/>
      <c r="BS369" s="36"/>
      <c r="BT369" s="36"/>
      <c r="BU369" s="36"/>
      <c r="BV369" s="36"/>
      <c r="BW369" s="36"/>
      <c r="BX369" s="36"/>
      <c r="BY369" s="36"/>
    </row>
    <row r="370" spans="1:77" x14ac:dyDescent="0.35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  <c r="AU370" s="36"/>
      <c r="AV370" s="36"/>
      <c r="AW370" s="36"/>
      <c r="AX370" s="36"/>
      <c r="AY370" s="36"/>
      <c r="AZ370" s="36"/>
      <c r="BA370" s="36"/>
      <c r="BB370" s="36"/>
      <c r="BC370" s="36"/>
      <c r="BD370" s="36"/>
      <c r="BE370" s="36"/>
      <c r="BF370" s="36"/>
      <c r="BG370" s="36"/>
      <c r="BH370" s="36"/>
      <c r="BI370" s="36"/>
      <c r="BJ370" s="36"/>
      <c r="BK370" s="36"/>
      <c r="BL370" s="36"/>
      <c r="BM370" s="36"/>
      <c r="BN370" s="36"/>
      <c r="BO370" s="36"/>
      <c r="BP370" s="36"/>
      <c r="BQ370" s="36"/>
      <c r="BR370" s="36"/>
      <c r="BS370" s="36"/>
      <c r="BT370" s="36"/>
      <c r="BU370" s="36"/>
      <c r="BV370" s="36"/>
      <c r="BW370" s="36"/>
      <c r="BX370" s="36"/>
      <c r="BY370" s="36"/>
    </row>
    <row r="371" spans="1:77" x14ac:dyDescent="0.35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  <c r="AU371" s="36"/>
      <c r="AV371" s="36"/>
      <c r="AW371" s="36"/>
      <c r="AX371" s="36"/>
      <c r="AY371" s="36"/>
      <c r="AZ371" s="36"/>
      <c r="BA371" s="36"/>
      <c r="BB371" s="36"/>
      <c r="BC371" s="36"/>
      <c r="BD371" s="36"/>
      <c r="BE371" s="36"/>
      <c r="BF371" s="36"/>
      <c r="BG371" s="36"/>
      <c r="BH371" s="36"/>
      <c r="BI371" s="36"/>
      <c r="BJ371" s="36"/>
      <c r="BK371" s="36"/>
      <c r="BL371" s="36"/>
      <c r="BM371" s="36"/>
      <c r="BN371" s="36"/>
      <c r="BO371" s="36"/>
      <c r="BP371" s="36"/>
      <c r="BQ371" s="36"/>
      <c r="BR371" s="36"/>
      <c r="BS371" s="36"/>
      <c r="BT371" s="36"/>
      <c r="BU371" s="36"/>
      <c r="BV371" s="36"/>
      <c r="BW371" s="36"/>
      <c r="BX371" s="36"/>
      <c r="BY371" s="36"/>
    </row>
    <row r="372" spans="1:77" x14ac:dyDescent="0.35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  <c r="AU372" s="36"/>
      <c r="AV372" s="36"/>
      <c r="AW372" s="36"/>
      <c r="AX372" s="36"/>
      <c r="AY372" s="36"/>
      <c r="AZ372" s="36"/>
      <c r="BA372" s="36"/>
      <c r="BB372" s="36"/>
      <c r="BC372" s="36"/>
      <c r="BD372" s="36"/>
      <c r="BE372" s="36"/>
      <c r="BF372" s="36"/>
      <c r="BG372" s="36"/>
      <c r="BH372" s="36"/>
      <c r="BI372" s="36"/>
      <c r="BJ372" s="36"/>
      <c r="BK372" s="36"/>
      <c r="BL372" s="36"/>
      <c r="BM372" s="36"/>
      <c r="BN372" s="36"/>
      <c r="BO372" s="36"/>
      <c r="BP372" s="36"/>
      <c r="BQ372" s="36"/>
      <c r="BR372" s="36"/>
      <c r="BS372" s="36"/>
      <c r="BT372" s="36"/>
      <c r="BU372" s="36"/>
      <c r="BV372" s="36"/>
      <c r="BW372" s="36"/>
      <c r="BX372" s="36"/>
      <c r="BY372" s="36"/>
    </row>
    <row r="373" spans="1:77" x14ac:dyDescent="0.35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  <c r="AU373" s="36"/>
      <c r="AV373" s="36"/>
      <c r="AW373" s="36"/>
      <c r="AX373" s="36"/>
      <c r="AY373" s="36"/>
      <c r="AZ373" s="36"/>
      <c r="BA373" s="36"/>
      <c r="BB373" s="36"/>
      <c r="BC373" s="36"/>
      <c r="BD373" s="36"/>
      <c r="BE373" s="36"/>
      <c r="BF373" s="36"/>
      <c r="BG373" s="36"/>
      <c r="BH373" s="36"/>
      <c r="BI373" s="36"/>
      <c r="BJ373" s="36"/>
      <c r="BK373" s="36"/>
      <c r="BL373" s="36"/>
      <c r="BM373" s="36"/>
      <c r="BN373" s="36"/>
      <c r="BO373" s="36"/>
      <c r="BP373" s="36"/>
      <c r="BQ373" s="36"/>
      <c r="BR373" s="36"/>
      <c r="BS373" s="36"/>
      <c r="BT373" s="36"/>
      <c r="BU373" s="36"/>
      <c r="BV373" s="36"/>
      <c r="BW373" s="36"/>
      <c r="BX373" s="36"/>
      <c r="BY373" s="36"/>
    </row>
    <row r="374" spans="1:77" x14ac:dyDescent="0.35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  <c r="AU374" s="36"/>
      <c r="AV374" s="36"/>
      <c r="AW374" s="36"/>
      <c r="AX374" s="36"/>
      <c r="AY374" s="36"/>
      <c r="AZ374" s="36"/>
      <c r="BA374" s="36"/>
      <c r="BB374" s="36"/>
      <c r="BC374" s="36"/>
      <c r="BD374" s="36"/>
      <c r="BE374" s="36"/>
      <c r="BF374" s="36"/>
      <c r="BG374" s="36"/>
      <c r="BH374" s="36"/>
      <c r="BI374" s="36"/>
      <c r="BJ374" s="36"/>
      <c r="BK374" s="36"/>
      <c r="BL374" s="36"/>
      <c r="BM374" s="36"/>
      <c r="BN374" s="36"/>
      <c r="BO374" s="36"/>
      <c r="BP374" s="36"/>
      <c r="BQ374" s="36"/>
      <c r="BR374" s="36"/>
      <c r="BS374" s="36"/>
      <c r="BT374" s="36"/>
      <c r="BU374" s="36"/>
      <c r="BV374" s="36"/>
      <c r="BW374" s="36"/>
      <c r="BX374" s="36"/>
      <c r="BY374" s="36"/>
    </row>
    <row r="375" spans="1:77" x14ac:dyDescent="0.35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  <c r="AU375" s="36"/>
      <c r="AV375" s="36"/>
      <c r="AW375" s="36"/>
      <c r="AX375" s="36"/>
      <c r="AY375" s="36"/>
      <c r="AZ375" s="36"/>
      <c r="BA375" s="36"/>
      <c r="BB375" s="36"/>
      <c r="BC375" s="36"/>
      <c r="BD375" s="36"/>
      <c r="BE375" s="36"/>
      <c r="BF375" s="36"/>
      <c r="BG375" s="36"/>
      <c r="BH375" s="36"/>
      <c r="BI375" s="36"/>
      <c r="BJ375" s="36"/>
      <c r="BK375" s="36"/>
      <c r="BL375" s="36"/>
      <c r="BM375" s="36"/>
      <c r="BN375" s="36"/>
      <c r="BO375" s="36"/>
      <c r="BP375" s="36"/>
      <c r="BQ375" s="36"/>
      <c r="BR375" s="36"/>
      <c r="BS375" s="36"/>
      <c r="BT375" s="36"/>
      <c r="BU375" s="36"/>
      <c r="BV375" s="36"/>
      <c r="BW375" s="36"/>
      <c r="BX375" s="36"/>
      <c r="BY375" s="36"/>
    </row>
    <row r="376" spans="1:77" x14ac:dyDescent="0.35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  <c r="AU376" s="36"/>
      <c r="AV376" s="36"/>
      <c r="AW376" s="36"/>
      <c r="AX376" s="36"/>
      <c r="AY376" s="36"/>
      <c r="AZ376" s="36"/>
      <c r="BA376" s="36"/>
      <c r="BB376" s="36"/>
      <c r="BC376" s="36"/>
      <c r="BD376" s="36"/>
      <c r="BE376" s="36"/>
      <c r="BF376" s="36"/>
      <c r="BG376" s="36"/>
      <c r="BH376" s="36"/>
      <c r="BI376" s="36"/>
      <c r="BJ376" s="36"/>
      <c r="BK376" s="36"/>
      <c r="BL376" s="36"/>
      <c r="BM376" s="36"/>
      <c r="BN376" s="36"/>
      <c r="BO376" s="36"/>
      <c r="BP376" s="36"/>
      <c r="BQ376" s="36"/>
      <c r="BR376" s="36"/>
      <c r="BS376" s="36"/>
      <c r="BT376" s="36"/>
      <c r="BU376" s="36"/>
      <c r="BV376" s="36"/>
      <c r="BW376" s="36"/>
      <c r="BX376" s="36"/>
      <c r="BY376" s="36"/>
    </row>
    <row r="377" spans="1:77" x14ac:dyDescent="0.35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  <c r="AU377" s="36"/>
      <c r="AV377" s="36"/>
      <c r="AW377" s="36"/>
      <c r="AX377" s="36"/>
      <c r="AY377" s="36"/>
      <c r="AZ377" s="36"/>
      <c r="BA377" s="36"/>
      <c r="BB377" s="36"/>
      <c r="BC377" s="36"/>
      <c r="BD377" s="36"/>
      <c r="BE377" s="36"/>
      <c r="BF377" s="36"/>
      <c r="BG377" s="36"/>
      <c r="BH377" s="36"/>
      <c r="BI377" s="36"/>
      <c r="BJ377" s="36"/>
      <c r="BK377" s="36"/>
      <c r="BL377" s="36"/>
      <c r="BM377" s="36"/>
      <c r="BN377" s="36"/>
      <c r="BO377" s="36"/>
      <c r="BP377" s="36"/>
      <c r="BQ377" s="36"/>
      <c r="BR377" s="36"/>
      <c r="BS377" s="36"/>
      <c r="BT377" s="36"/>
      <c r="BU377" s="36"/>
      <c r="BV377" s="36"/>
      <c r="BW377" s="36"/>
      <c r="BX377" s="36"/>
      <c r="BY377" s="36"/>
    </row>
    <row r="378" spans="1:77" x14ac:dyDescent="0.35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  <c r="AU378" s="36"/>
      <c r="AV378" s="36"/>
      <c r="AW378" s="36"/>
      <c r="AX378" s="36"/>
      <c r="AY378" s="36"/>
      <c r="AZ378" s="36"/>
      <c r="BA378" s="36"/>
      <c r="BB378" s="36"/>
      <c r="BC378" s="36"/>
      <c r="BD378" s="36"/>
      <c r="BE378" s="36"/>
      <c r="BF378" s="36"/>
      <c r="BG378" s="36"/>
      <c r="BH378" s="36"/>
      <c r="BI378" s="36"/>
      <c r="BJ378" s="36"/>
      <c r="BK378" s="36"/>
      <c r="BL378" s="36"/>
      <c r="BM378" s="36"/>
      <c r="BN378" s="36"/>
      <c r="BO378" s="36"/>
      <c r="BP378" s="36"/>
      <c r="BQ378" s="36"/>
      <c r="BR378" s="36"/>
      <c r="BS378" s="36"/>
      <c r="BT378" s="36"/>
      <c r="BU378" s="36"/>
      <c r="BV378" s="36"/>
      <c r="BW378" s="36"/>
      <c r="BX378" s="36"/>
      <c r="BY378" s="36"/>
    </row>
    <row r="379" spans="1:77" x14ac:dyDescent="0.35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  <c r="AU379" s="36"/>
      <c r="AV379" s="36"/>
      <c r="AW379" s="36"/>
      <c r="AX379" s="36"/>
      <c r="AY379" s="36"/>
      <c r="AZ379" s="36"/>
      <c r="BA379" s="36"/>
      <c r="BB379" s="36"/>
      <c r="BC379" s="36"/>
      <c r="BD379" s="36"/>
      <c r="BE379" s="36"/>
      <c r="BF379" s="36"/>
      <c r="BG379" s="36"/>
      <c r="BH379" s="36"/>
      <c r="BI379" s="36"/>
      <c r="BJ379" s="36"/>
      <c r="BK379" s="36"/>
      <c r="BL379" s="36"/>
      <c r="BM379" s="36"/>
      <c r="BN379" s="36"/>
      <c r="BO379" s="36"/>
      <c r="BP379" s="36"/>
      <c r="BQ379" s="36"/>
      <c r="BR379" s="36"/>
      <c r="BS379" s="36"/>
      <c r="BT379" s="36"/>
      <c r="BU379" s="36"/>
      <c r="BV379" s="36"/>
      <c r="BW379" s="36"/>
      <c r="BX379" s="36"/>
      <c r="BY379" s="36"/>
    </row>
    <row r="380" spans="1:77" x14ac:dyDescent="0.35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  <c r="AU380" s="36"/>
      <c r="AV380" s="36"/>
      <c r="AW380" s="36"/>
      <c r="AX380" s="36"/>
      <c r="AY380" s="36"/>
      <c r="AZ380" s="36"/>
      <c r="BA380" s="36"/>
      <c r="BB380" s="36"/>
      <c r="BC380" s="36"/>
      <c r="BD380" s="36"/>
      <c r="BE380" s="36"/>
      <c r="BF380" s="36"/>
      <c r="BG380" s="36"/>
      <c r="BH380" s="36"/>
      <c r="BI380" s="36"/>
      <c r="BJ380" s="36"/>
      <c r="BK380" s="36"/>
      <c r="BL380" s="36"/>
      <c r="BM380" s="36"/>
      <c r="BN380" s="36"/>
      <c r="BO380" s="36"/>
      <c r="BP380" s="36"/>
      <c r="BQ380" s="36"/>
      <c r="BR380" s="36"/>
      <c r="BS380" s="36"/>
      <c r="BT380" s="36"/>
      <c r="BU380" s="36"/>
      <c r="BV380" s="36"/>
      <c r="BW380" s="36"/>
      <c r="BX380" s="36"/>
      <c r="BY380" s="36"/>
    </row>
    <row r="381" spans="1:77" x14ac:dyDescent="0.35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  <c r="AU381" s="36"/>
      <c r="AV381" s="36"/>
      <c r="AW381" s="36"/>
      <c r="AX381" s="36"/>
      <c r="AY381" s="36"/>
      <c r="AZ381" s="36"/>
      <c r="BA381" s="36"/>
      <c r="BB381" s="36"/>
      <c r="BC381" s="36"/>
      <c r="BD381" s="36"/>
      <c r="BE381" s="36"/>
      <c r="BF381" s="36"/>
      <c r="BG381" s="36"/>
      <c r="BH381" s="36"/>
      <c r="BI381" s="36"/>
      <c r="BJ381" s="36"/>
      <c r="BK381" s="36"/>
      <c r="BL381" s="36"/>
      <c r="BM381" s="36"/>
      <c r="BN381" s="36"/>
      <c r="BO381" s="36"/>
      <c r="BP381" s="36"/>
      <c r="BQ381" s="36"/>
      <c r="BR381" s="36"/>
      <c r="BS381" s="36"/>
      <c r="BT381" s="36"/>
      <c r="BU381" s="36"/>
      <c r="BV381" s="36"/>
      <c r="BW381" s="36"/>
      <c r="BX381" s="36"/>
      <c r="BY381" s="36"/>
    </row>
    <row r="382" spans="1:77" x14ac:dyDescent="0.35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  <c r="AU382" s="36"/>
      <c r="AV382" s="36"/>
      <c r="AW382" s="36"/>
      <c r="AX382" s="36"/>
      <c r="AY382" s="36"/>
      <c r="AZ382" s="36"/>
      <c r="BA382" s="36"/>
      <c r="BB382" s="36"/>
      <c r="BC382" s="36"/>
      <c r="BD382" s="36"/>
      <c r="BE382" s="36"/>
      <c r="BF382" s="36"/>
      <c r="BG382" s="36"/>
      <c r="BH382" s="36"/>
      <c r="BI382" s="36"/>
      <c r="BJ382" s="36"/>
      <c r="BK382" s="36"/>
      <c r="BL382" s="36"/>
      <c r="BM382" s="36"/>
      <c r="BN382" s="36"/>
      <c r="BO382" s="36"/>
      <c r="BP382" s="36"/>
      <c r="BQ382" s="36"/>
      <c r="BR382" s="36"/>
      <c r="BS382" s="36"/>
      <c r="BT382" s="36"/>
      <c r="BU382" s="36"/>
      <c r="BV382" s="36"/>
      <c r="BW382" s="36"/>
      <c r="BX382" s="36"/>
      <c r="BY382" s="36"/>
    </row>
    <row r="383" spans="1:77" x14ac:dyDescent="0.35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  <c r="AU383" s="36"/>
      <c r="AV383" s="36"/>
      <c r="AW383" s="36"/>
      <c r="AX383" s="36"/>
      <c r="AY383" s="36"/>
      <c r="AZ383" s="36"/>
      <c r="BA383" s="36"/>
      <c r="BB383" s="36"/>
      <c r="BC383" s="36"/>
      <c r="BD383" s="36"/>
      <c r="BE383" s="36"/>
      <c r="BF383" s="36"/>
      <c r="BG383" s="36"/>
      <c r="BH383" s="36"/>
      <c r="BI383" s="36"/>
      <c r="BJ383" s="36"/>
      <c r="BK383" s="36"/>
      <c r="BL383" s="36"/>
      <c r="BM383" s="36"/>
      <c r="BN383" s="36"/>
      <c r="BO383" s="36"/>
      <c r="BP383" s="36"/>
      <c r="BQ383" s="36"/>
      <c r="BR383" s="36"/>
      <c r="BS383" s="36"/>
      <c r="BT383" s="36"/>
      <c r="BU383" s="36"/>
      <c r="BV383" s="36"/>
      <c r="BW383" s="36"/>
      <c r="BX383" s="36"/>
      <c r="BY383" s="36"/>
    </row>
    <row r="384" spans="1:77" x14ac:dyDescent="0.35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36"/>
      <c r="BD384" s="36"/>
      <c r="BE384" s="36"/>
      <c r="BF384" s="36"/>
      <c r="BG384" s="36"/>
      <c r="BH384" s="36"/>
      <c r="BI384" s="36"/>
      <c r="BJ384" s="36"/>
      <c r="BK384" s="36"/>
      <c r="BL384" s="36"/>
      <c r="BM384" s="36"/>
      <c r="BN384" s="36"/>
      <c r="BO384" s="36"/>
      <c r="BP384" s="36"/>
      <c r="BQ384" s="36"/>
      <c r="BR384" s="36"/>
      <c r="BS384" s="36"/>
      <c r="BT384" s="36"/>
      <c r="BU384" s="36"/>
      <c r="BV384" s="36"/>
      <c r="BW384" s="36"/>
      <c r="BX384" s="36"/>
      <c r="BY384" s="36"/>
    </row>
    <row r="385" spans="1:77" x14ac:dyDescent="0.35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  <c r="AU385" s="36"/>
      <c r="AV385" s="36"/>
      <c r="AW385" s="36"/>
      <c r="AX385" s="36"/>
      <c r="AY385" s="36"/>
      <c r="AZ385" s="36"/>
      <c r="BA385" s="36"/>
      <c r="BB385" s="36"/>
      <c r="BC385" s="36"/>
      <c r="BD385" s="36"/>
      <c r="BE385" s="36"/>
      <c r="BF385" s="36"/>
      <c r="BG385" s="36"/>
      <c r="BH385" s="36"/>
      <c r="BI385" s="36"/>
      <c r="BJ385" s="36"/>
      <c r="BK385" s="36"/>
      <c r="BL385" s="36"/>
      <c r="BM385" s="36"/>
      <c r="BN385" s="36"/>
      <c r="BO385" s="36"/>
      <c r="BP385" s="36"/>
      <c r="BQ385" s="36"/>
      <c r="BR385" s="36"/>
      <c r="BS385" s="36"/>
      <c r="BT385" s="36"/>
      <c r="BU385" s="36"/>
      <c r="BV385" s="36"/>
      <c r="BW385" s="36"/>
      <c r="BX385" s="36"/>
      <c r="BY385" s="36"/>
    </row>
    <row r="386" spans="1:77" x14ac:dyDescent="0.35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  <c r="AU386" s="36"/>
      <c r="AV386" s="36"/>
      <c r="AW386" s="36"/>
      <c r="AX386" s="36"/>
      <c r="AY386" s="36"/>
      <c r="AZ386" s="36"/>
      <c r="BA386" s="36"/>
      <c r="BB386" s="36"/>
      <c r="BC386" s="36"/>
      <c r="BD386" s="36"/>
      <c r="BE386" s="36"/>
      <c r="BF386" s="36"/>
      <c r="BG386" s="36"/>
      <c r="BH386" s="36"/>
      <c r="BI386" s="36"/>
      <c r="BJ386" s="36"/>
      <c r="BK386" s="36"/>
      <c r="BL386" s="36"/>
      <c r="BM386" s="36"/>
      <c r="BN386" s="36"/>
      <c r="BO386" s="36"/>
      <c r="BP386" s="36"/>
      <c r="BQ386" s="36"/>
      <c r="BR386" s="36"/>
      <c r="BS386" s="36"/>
      <c r="BT386" s="36"/>
      <c r="BU386" s="36"/>
      <c r="BV386" s="36"/>
      <c r="BW386" s="36"/>
      <c r="BX386" s="36"/>
      <c r="BY386" s="36"/>
    </row>
    <row r="387" spans="1:77" x14ac:dyDescent="0.35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  <c r="AU387" s="36"/>
      <c r="AV387" s="36"/>
      <c r="AW387" s="36"/>
      <c r="AX387" s="36"/>
      <c r="AY387" s="36"/>
      <c r="AZ387" s="36"/>
      <c r="BA387" s="36"/>
      <c r="BB387" s="36"/>
      <c r="BC387" s="36"/>
      <c r="BD387" s="36"/>
      <c r="BE387" s="36"/>
      <c r="BF387" s="36"/>
      <c r="BG387" s="36"/>
      <c r="BH387" s="36"/>
      <c r="BI387" s="36"/>
      <c r="BJ387" s="36"/>
      <c r="BK387" s="36"/>
      <c r="BL387" s="36"/>
      <c r="BM387" s="36"/>
      <c r="BN387" s="36"/>
      <c r="BO387" s="36"/>
      <c r="BP387" s="36"/>
      <c r="BQ387" s="36"/>
      <c r="BR387" s="36"/>
      <c r="BS387" s="36"/>
      <c r="BT387" s="36"/>
      <c r="BU387" s="36"/>
      <c r="BV387" s="36"/>
      <c r="BW387" s="36"/>
      <c r="BX387" s="36"/>
      <c r="BY387" s="36"/>
    </row>
    <row r="388" spans="1:77" x14ac:dyDescent="0.35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  <c r="AU388" s="36"/>
      <c r="AV388" s="36"/>
      <c r="AW388" s="36"/>
      <c r="AX388" s="36"/>
      <c r="AY388" s="36"/>
      <c r="AZ388" s="36"/>
      <c r="BA388" s="36"/>
      <c r="BB388" s="36"/>
      <c r="BC388" s="36"/>
      <c r="BD388" s="36"/>
      <c r="BE388" s="36"/>
      <c r="BF388" s="36"/>
      <c r="BG388" s="36"/>
      <c r="BH388" s="36"/>
      <c r="BI388" s="36"/>
      <c r="BJ388" s="36"/>
      <c r="BK388" s="36"/>
      <c r="BL388" s="36"/>
      <c r="BM388" s="36"/>
      <c r="BN388" s="36"/>
      <c r="BO388" s="36"/>
      <c r="BP388" s="36"/>
      <c r="BQ388" s="36"/>
      <c r="BR388" s="36"/>
      <c r="BS388" s="36"/>
      <c r="BT388" s="36"/>
      <c r="BU388" s="36"/>
      <c r="BV388" s="36"/>
      <c r="BW388" s="36"/>
      <c r="BX388" s="36"/>
      <c r="BY388" s="36"/>
    </row>
    <row r="389" spans="1:77" x14ac:dyDescent="0.35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  <c r="AU389" s="36"/>
      <c r="AV389" s="36"/>
      <c r="AW389" s="36"/>
      <c r="AX389" s="36"/>
      <c r="AY389" s="36"/>
      <c r="AZ389" s="36"/>
      <c r="BA389" s="36"/>
      <c r="BB389" s="36"/>
      <c r="BC389" s="36"/>
      <c r="BD389" s="36"/>
      <c r="BE389" s="36"/>
      <c r="BF389" s="36"/>
      <c r="BG389" s="36"/>
      <c r="BH389" s="36"/>
      <c r="BI389" s="36"/>
      <c r="BJ389" s="36"/>
      <c r="BK389" s="36"/>
      <c r="BL389" s="36"/>
      <c r="BM389" s="36"/>
      <c r="BN389" s="36"/>
      <c r="BO389" s="36"/>
      <c r="BP389" s="36"/>
      <c r="BQ389" s="36"/>
      <c r="BR389" s="36"/>
      <c r="BS389" s="36"/>
      <c r="BT389" s="36"/>
      <c r="BU389" s="36"/>
      <c r="BV389" s="36"/>
      <c r="BW389" s="36"/>
      <c r="BX389" s="36"/>
      <c r="BY389" s="36"/>
    </row>
    <row r="390" spans="1:77" x14ac:dyDescent="0.35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  <c r="AU390" s="36"/>
      <c r="AV390" s="36"/>
      <c r="AW390" s="36"/>
      <c r="AX390" s="36"/>
      <c r="AY390" s="36"/>
      <c r="AZ390" s="36"/>
      <c r="BA390" s="36"/>
      <c r="BB390" s="36"/>
      <c r="BC390" s="36"/>
      <c r="BD390" s="36"/>
      <c r="BE390" s="36"/>
      <c r="BF390" s="36"/>
      <c r="BG390" s="36"/>
      <c r="BH390" s="36"/>
      <c r="BI390" s="36"/>
      <c r="BJ390" s="36"/>
      <c r="BK390" s="36"/>
      <c r="BL390" s="36"/>
      <c r="BM390" s="36"/>
      <c r="BN390" s="36"/>
      <c r="BO390" s="36"/>
      <c r="BP390" s="36"/>
      <c r="BQ390" s="36"/>
      <c r="BR390" s="36"/>
      <c r="BS390" s="36"/>
      <c r="BT390" s="36"/>
      <c r="BU390" s="36"/>
      <c r="BV390" s="36"/>
      <c r="BW390" s="36"/>
      <c r="BX390" s="36"/>
      <c r="BY390" s="36"/>
    </row>
    <row r="391" spans="1:77" x14ac:dyDescent="0.35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  <c r="AU391" s="36"/>
      <c r="AV391" s="36"/>
      <c r="AW391" s="36"/>
      <c r="AX391" s="36"/>
      <c r="AY391" s="36"/>
      <c r="AZ391" s="36"/>
      <c r="BA391" s="36"/>
      <c r="BB391" s="36"/>
      <c r="BC391" s="36"/>
      <c r="BD391" s="36"/>
      <c r="BE391" s="36"/>
      <c r="BF391" s="36"/>
      <c r="BG391" s="36"/>
      <c r="BH391" s="36"/>
      <c r="BI391" s="36"/>
      <c r="BJ391" s="36"/>
      <c r="BK391" s="36"/>
      <c r="BL391" s="36"/>
      <c r="BM391" s="36"/>
      <c r="BN391" s="36"/>
      <c r="BO391" s="36"/>
      <c r="BP391" s="36"/>
      <c r="BQ391" s="36"/>
      <c r="BR391" s="36"/>
      <c r="BS391" s="36"/>
      <c r="BT391" s="36"/>
      <c r="BU391" s="36"/>
      <c r="BV391" s="36"/>
      <c r="BW391" s="36"/>
      <c r="BX391" s="36"/>
      <c r="BY391" s="36"/>
    </row>
    <row r="392" spans="1:77" x14ac:dyDescent="0.35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  <c r="AU392" s="36"/>
      <c r="AV392" s="36"/>
      <c r="AW392" s="36"/>
      <c r="AX392" s="36"/>
      <c r="AY392" s="36"/>
      <c r="AZ392" s="36"/>
      <c r="BA392" s="36"/>
      <c r="BB392" s="36"/>
      <c r="BC392" s="36"/>
      <c r="BD392" s="36"/>
      <c r="BE392" s="36"/>
      <c r="BF392" s="36"/>
      <c r="BG392" s="36"/>
      <c r="BH392" s="36"/>
      <c r="BI392" s="36"/>
      <c r="BJ392" s="36"/>
      <c r="BK392" s="36"/>
      <c r="BL392" s="36"/>
      <c r="BM392" s="36"/>
      <c r="BN392" s="36"/>
      <c r="BO392" s="36"/>
      <c r="BP392" s="36"/>
      <c r="BQ392" s="36"/>
      <c r="BR392" s="36"/>
      <c r="BS392" s="36"/>
      <c r="BT392" s="36"/>
      <c r="BU392" s="36"/>
      <c r="BV392" s="36"/>
      <c r="BW392" s="36"/>
      <c r="BX392" s="36"/>
      <c r="BY392" s="36"/>
    </row>
    <row r="393" spans="1:77" x14ac:dyDescent="0.35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  <c r="AU393" s="36"/>
      <c r="AV393" s="36"/>
      <c r="AW393" s="36"/>
      <c r="AX393" s="36"/>
      <c r="AY393" s="36"/>
      <c r="AZ393" s="36"/>
      <c r="BA393" s="36"/>
      <c r="BB393" s="36"/>
      <c r="BC393" s="36"/>
      <c r="BD393" s="36"/>
      <c r="BE393" s="36"/>
      <c r="BF393" s="36"/>
      <c r="BG393" s="36"/>
      <c r="BH393" s="36"/>
      <c r="BI393" s="36"/>
      <c r="BJ393" s="36"/>
      <c r="BK393" s="36"/>
      <c r="BL393" s="36"/>
      <c r="BM393" s="36"/>
      <c r="BN393" s="36"/>
      <c r="BO393" s="36"/>
      <c r="BP393" s="36"/>
      <c r="BQ393" s="36"/>
      <c r="BR393" s="36"/>
      <c r="BS393" s="36"/>
      <c r="BT393" s="36"/>
      <c r="BU393" s="36"/>
      <c r="BV393" s="36"/>
      <c r="BW393" s="36"/>
      <c r="BX393" s="36"/>
      <c r="BY393" s="36"/>
    </row>
    <row r="394" spans="1:77" x14ac:dyDescent="0.35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  <c r="AU394" s="36"/>
      <c r="AV394" s="36"/>
      <c r="AW394" s="36"/>
      <c r="AX394" s="36"/>
      <c r="AY394" s="36"/>
      <c r="AZ394" s="36"/>
      <c r="BA394" s="36"/>
      <c r="BB394" s="36"/>
      <c r="BC394" s="36"/>
      <c r="BD394" s="36"/>
      <c r="BE394" s="36"/>
      <c r="BF394" s="36"/>
      <c r="BG394" s="36"/>
      <c r="BH394" s="36"/>
      <c r="BI394" s="36"/>
      <c r="BJ394" s="36"/>
      <c r="BK394" s="36"/>
      <c r="BL394" s="36"/>
      <c r="BM394" s="36"/>
      <c r="BN394" s="36"/>
      <c r="BO394" s="36"/>
      <c r="BP394" s="36"/>
      <c r="BQ394" s="36"/>
      <c r="BR394" s="36"/>
      <c r="BS394" s="36"/>
      <c r="BT394" s="36"/>
      <c r="BU394" s="36"/>
      <c r="BV394" s="36"/>
      <c r="BW394" s="36"/>
      <c r="BX394" s="36"/>
      <c r="BY394" s="36"/>
    </row>
    <row r="395" spans="1:77" x14ac:dyDescent="0.35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  <c r="AU395" s="36"/>
      <c r="AV395" s="36"/>
      <c r="AW395" s="36"/>
      <c r="AX395" s="36"/>
      <c r="AY395" s="36"/>
      <c r="AZ395" s="36"/>
      <c r="BA395" s="36"/>
      <c r="BB395" s="36"/>
      <c r="BC395" s="36"/>
      <c r="BD395" s="36"/>
      <c r="BE395" s="36"/>
      <c r="BF395" s="36"/>
      <c r="BG395" s="36"/>
      <c r="BH395" s="36"/>
      <c r="BI395" s="36"/>
      <c r="BJ395" s="36"/>
      <c r="BK395" s="36"/>
      <c r="BL395" s="36"/>
      <c r="BM395" s="36"/>
      <c r="BN395" s="36"/>
      <c r="BO395" s="36"/>
      <c r="BP395" s="36"/>
      <c r="BQ395" s="36"/>
      <c r="BR395" s="36"/>
      <c r="BS395" s="36"/>
      <c r="BT395" s="36"/>
      <c r="BU395" s="36"/>
      <c r="BV395" s="36"/>
      <c r="BW395" s="36"/>
      <c r="BX395" s="36"/>
      <c r="BY395" s="36"/>
    </row>
    <row r="396" spans="1:77" x14ac:dyDescent="0.35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  <c r="AU396" s="36"/>
      <c r="AV396" s="36"/>
      <c r="AW396" s="36"/>
      <c r="AX396" s="36"/>
      <c r="AY396" s="36"/>
      <c r="AZ396" s="36"/>
      <c r="BA396" s="36"/>
      <c r="BB396" s="36"/>
      <c r="BC396" s="36"/>
      <c r="BD396" s="36"/>
      <c r="BE396" s="36"/>
      <c r="BF396" s="36"/>
      <c r="BG396" s="36"/>
      <c r="BH396" s="36"/>
      <c r="BI396" s="36"/>
      <c r="BJ396" s="36"/>
      <c r="BK396" s="36"/>
      <c r="BL396" s="36"/>
      <c r="BM396" s="36"/>
      <c r="BN396" s="36"/>
      <c r="BO396" s="36"/>
      <c r="BP396" s="36"/>
      <c r="BQ396" s="36"/>
      <c r="BR396" s="36"/>
      <c r="BS396" s="36"/>
      <c r="BT396" s="36"/>
      <c r="BU396" s="36"/>
      <c r="BV396" s="36"/>
      <c r="BW396" s="36"/>
      <c r="BX396" s="36"/>
      <c r="BY396" s="36"/>
    </row>
    <row r="397" spans="1:77" x14ac:dyDescent="0.35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  <c r="AU397" s="36"/>
      <c r="AV397" s="36"/>
      <c r="AW397" s="36"/>
      <c r="AX397" s="36"/>
      <c r="AY397" s="36"/>
      <c r="AZ397" s="36"/>
      <c r="BA397" s="36"/>
      <c r="BB397" s="36"/>
      <c r="BC397" s="36"/>
      <c r="BD397" s="36"/>
      <c r="BE397" s="36"/>
      <c r="BF397" s="36"/>
      <c r="BG397" s="36"/>
      <c r="BH397" s="36"/>
      <c r="BI397" s="36"/>
      <c r="BJ397" s="36"/>
      <c r="BK397" s="36"/>
      <c r="BL397" s="36"/>
      <c r="BM397" s="36"/>
      <c r="BN397" s="36"/>
      <c r="BO397" s="36"/>
      <c r="BP397" s="36"/>
      <c r="BQ397" s="36"/>
      <c r="BR397" s="36"/>
      <c r="BS397" s="36"/>
      <c r="BT397" s="36"/>
      <c r="BU397" s="36"/>
      <c r="BV397" s="36"/>
      <c r="BW397" s="36"/>
      <c r="BX397" s="36"/>
      <c r="BY397" s="36"/>
    </row>
    <row r="398" spans="1:77" x14ac:dyDescent="0.35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  <c r="AU398" s="36"/>
      <c r="AV398" s="36"/>
      <c r="AW398" s="36"/>
      <c r="AX398" s="36"/>
      <c r="AY398" s="36"/>
      <c r="AZ398" s="36"/>
      <c r="BA398" s="36"/>
      <c r="BB398" s="36"/>
      <c r="BC398" s="36"/>
      <c r="BD398" s="36"/>
      <c r="BE398" s="36"/>
      <c r="BF398" s="36"/>
      <c r="BG398" s="36"/>
      <c r="BH398" s="36"/>
      <c r="BI398" s="36"/>
      <c r="BJ398" s="36"/>
      <c r="BK398" s="36"/>
      <c r="BL398" s="36"/>
      <c r="BM398" s="36"/>
      <c r="BN398" s="36"/>
      <c r="BO398" s="36"/>
      <c r="BP398" s="36"/>
      <c r="BQ398" s="36"/>
      <c r="BR398" s="36"/>
      <c r="BS398" s="36"/>
      <c r="BT398" s="36"/>
      <c r="BU398" s="36"/>
      <c r="BV398" s="36"/>
      <c r="BW398" s="36"/>
      <c r="BX398" s="36"/>
      <c r="BY398" s="36"/>
    </row>
    <row r="399" spans="1:77" x14ac:dyDescent="0.35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  <c r="AU399" s="36"/>
      <c r="AV399" s="36"/>
      <c r="AW399" s="36"/>
      <c r="AX399" s="36"/>
      <c r="AY399" s="36"/>
      <c r="AZ399" s="36"/>
      <c r="BA399" s="36"/>
      <c r="BB399" s="36"/>
      <c r="BC399" s="36"/>
      <c r="BD399" s="36"/>
      <c r="BE399" s="36"/>
      <c r="BF399" s="36"/>
      <c r="BG399" s="36"/>
      <c r="BH399" s="36"/>
      <c r="BI399" s="36"/>
      <c r="BJ399" s="36"/>
      <c r="BK399" s="36"/>
      <c r="BL399" s="36"/>
      <c r="BM399" s="36"/>
      <c r="BN399" s="36"/>
      <c r="BO399" s="36"/>
      <c r="BP399" s="36"/>
      <c r="BQ399" s="36"/>
      <c r="BR399" s="36"/>
      <c r="BS399" s="36"/>
      <c r="BT399" s="36"/>
      <c r="BU399" s="36"/>
      <c r="BV399" s="36"/>
      <c r="BW399" s="36"/>
      <c r="BX399" s="36"/>
      <c r="BY399" s="36"/>
    </row>
    <row r="400" spans="1:77" x14ac:dyDescent="0.35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  <c r="AU400" s="36"/>
      <c r="AV400" s="36"/>
      <c r="AW400" s="36"/>
      <c r="AX400" s="36"/>
      <c r="AY400" s="36"/>
      <c r="AZ400" s="36"/>
      <c r="BA400" s="36"/>
      <c r="BB400" s="36"/>
      <c r="BC400" s="36"/>
      <c r="BD400" s="36"/>
      <c r="BE400" s="36"/>
      <c r="BF400" s="36"/>
      <c r="BG400" s="36"/>
      <c r="BH400" s="36"/>
      <c r="BI400" s="36"/>
      <c r="BJ400" s="36"/>
      <c r="BK400" s="36"/>
      <c r="BL400" s="36"/>
      <c r="BM400" s="36"/>
      <c r="BN400" s="36"/>
      <c r="BO400" s="36"/>
      <c r="BP400" s="36"/>
      <c r="BQ400" s="36"/>
      <c r="BR400" s="36"/>
      <c r="BS400" s="36"/>
      <c r="BT400" s="36"/>
      <c r="BU400" s="36"/>
      <c r="BV400" s="36"/>
      <c r="BW400" s="36"/>
      <c r="BX400" s="36"/>
      <c r="BY400" s="36"/>
    </row>
    <row r="401" spans="1:77" x14ac:dyDescent="0.35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  <c r="AU401" s="36"/>
      <c r="AV401" s="36"/>
      <c r="AW401" s="36"/>
      <c r="AX401" s="36"/>
      <c r="AY401" s="36"/>
      <c r="AZ401" s="36"/>
      <c r="BA401" s="36"/>
      <c r="BB401" s="36"/>
      <c r="BC401" s="36"/>
      <c r="BD401" s="36"/>
      <c r="BE401" s="36"/>
      <c r="BF401" s="36"/>
      <c r="BG401" s="36"/>
      <c r="BH401" s="36"/>
      <c r="BI401" s="36"/>
      <c r="BJ401" s="36"/>
      <c r="BK401" s="36"/>
      <c r="BL401" s="36"/>
      <c r="BM401" s="36"/>
      <c r="BN401" s="36"/>
      <c r="BO401" s="36"/>
      <c r="BP401" s="36"/>
      <c r="BQ401" s="36"/>
      <c r="BR401" s="36"/>
      <c r="BS401" s="36"/>
      <c r="BT401" s="36"/>
      <c r="BU401" s="36"/>
      <c r="BV401" s="36"/>
      <c r="BW401" s="36"/>
      <c r="BX401" s="36"/>
      <c r="BY401" s="36"/>
    </row>
    <row r="402" spans="1:77" x14ac:dyDescent="0.35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  <c r="AU402" s="36"/>
      <c r="AV402" s="36"/>
      <c r="AW402" s="36"/>
      <c r="AX402" s="36"/>
      <c r="AY402" s="36"/>
      <c r="AZ402" s="36"/>
      <c r="BA402" s="36"/>
      <c r="BB402" s="36"/>
      <c r="BC402" s="36"/>
      <c r="BD402" s="36"/>
      <c r="BE402" s="36"/>
      <c r="BF402" s="36"/>
      <c r="BG402" s="36"/>
      <c r="BH402" s="36"/>
      <c r="BI402" s="36"/>
      <c r="BJ402" s="36"/>
      <c r="BK402" s="36"/>
      <c r="BL402" s="36"/>
      <c r="BM402" s="36"/>
      <c r="BN402" s="36"/>
      <c r="BO402" s="36"/>
      <c r="BP402" s="36"/>
      <c r="BQ402" s="36"/>
      <c r="BR402" s="36"/>
      <c r="BS402" s="36"/>
      <c r="BT402" s="36"/>
      <c r="BU402" s="36"/>
      <c r="BV402" s="36"/>
      <c r="BW402" s="36"/>
      <c r="BX402" s="36"/>
      <c r="BY402" s="36"/>
    </row>
    <row r="403" spans="1:77" x14ac:dyDescent="0.35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  <c r="AU403" s="36"/>
      <c r="AV403" s="36"/>
      <c r="AW403" s="36"/>
      <c r="AX403" s="36"/>
      <c r="AY403" s="36"/>
      <c r="AZ403" s="36"/>
      <c r="BA403" s="36"/>
      <c r="BB403" s="36"/>
      <c r="BC403" s="36"/>
      <c r="BD403" s="36"/>
      <c r="BE403" s="36"/>
      <c r="BF403" s="36"/>
      <c r="BG403" s="36"/>
      <c r="BH403" s="36"/>
      <c r="BI403" s="36"/>
      <c r="BJ403" s="36"/>
      <c r="BK403" s="36"/>
      <c r="BL403" s="36"/>
      <c r="BM403" s="36"/>
      <c r="BN403" s="36"/>
      <c r="BO403" s="36"/>
      <c r="BP403" s="36"/>
      <c r="BQ403" s="36"/>
      <c r="BR403" s="36"/>
      <c r="BS403" s="36"/>
      <c r="BT403" s="36"/>
      <c r="BU403" s="36"/>
      <c r="BV403" s="36"/>
      <c r="BW403" s="36"/>
      <c r="BX403" s="36"/>
      <c r="BY403" s="36"/>
    </row>
    <row r="404" spans="1:77" x14ac:dyDescent="0.35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  <c r="AU404" s="36"/>
      <c r="AV404" s="36"/>
      <c r="AW404" s="36"/>
      <c r="AX404" s="36"/>
      <c r="AY404" s="36"/>
      <c r="AZ404" s="36"/>
      <c r="BA404" s="36"/>
      <c r="BB404" s="36"/>
      <c r="BC404" s="36"/>
      <c r="BD404" s="36"/>
      <c r="BE404" s="36"/>
      <c r="BF404" s="36"/>
      <c r="BG404" s="36"/>
      <c r="BH404" s="36"/>
      <c r="BI404" s="36"/>
      <c r="BJ404" s="36"/>
      <c r="BK404" s="36"/>
      <c r="BL404" s="36"/>
      <c r="BM404" s="36"/>
      <c r="BN404" s="36"/>
      <c r="BO404" s="36"/>
      <c r="BP404" s="36"/>
      <c r="BQ404" s="36"/>
      <c r="BR404" s="36"/>
      <c r="BS404" s="36"/>
      <c r="BT404" s="36"/>
      <c r="BU404" s="36"/>
      <c r="BV404" s="36"/>
      <c r="BW404" s="36"/>
      <c r="BX404" s="36"/>
      <c r="BY404" s="36"/>
    </row>
    <row r="405" spans="1:77" x14ac:dyDescent="0.35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  <c r="AU405" s="36"/>
      <c r="AV405" s="36"/>
      <c r="AW405" s="36"/>
      <c r="AX405" s="36"/>
      <c r="AY405" s="36"/>
      <c r="AZ405" s="36"/>
      <c r="BA405" s="36"/>
      <c r="BB405" s="36"/>
      <c r="BC405" s="36"/>
      <c r="BD405" s="36"/>
      <c r="BE405" s="36"/>
      <c r="BF405" s="36"/>
      <c r="BG405" s="36"/>
      <c r="BH405" s="36"/>
      <c r="BI405" s="36"/>
      <c r="BJ405" s="36"/>
      <c r="BK405" s="36"/>
      <c r="BL405" s="36"/>
      <c r="BM405" s="36"/>
      <c r="BN405" s="36"/>
      <c r="BO405" s="36"/>
      <c r="BP405" s="36"/>
      <c r="BQ405" s="36"/>
      <c r="BR405" s="36"/>
      <c r="BS405" s="36"/>
      <c r="BT405" s="36"/>
      <c r="BU405" s="36"/>
      <c r="BV405" s="36"/>
      <c r="BW405" s="36"/>
      <c r="BX405" s="36"/>
      <c r="BY405" s="36"/>
    </row>
    <row r="406" spans="1:77" x14ac:dyDescent="0.35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  <c r="AU406" s="36"/>
      <c r="AV406" s="36"/>
      <c r="AW406" s="36"/>
      <c r="AX406" s="36"/>
      <c r="AY406" s="36"/>
      <c r="AZ406" s="36"/>
      <c r="BA406" s="36"/>
      <c r="BB406" s="36"/>
      <c r="BC406" s="36"/>
      <c r="BD406" s="36"/>
      <c r="BE406" s="36"/>
      <c r="BF406" s="36"/>
      <c r="BG406" s="36"/>
      <c r="BH406" s="36"/>
      <c r="BI406" s="36"/>
      <c r="BJ406" s="36"/>
      <c r="BK406" s="36"/>
      <c r="BL406" s="36"/>
      <c r="BM406" s="36"/>
      <c r="BN406" s="36"/>
      <c r="BO406" s="36"/>
      <c r="BP406" s="36"/>
      <c r="BQ406" s="36"/>
      <c r="BR406" s="36"/>
      <c r="BS406" s="36"/>
      <c r="BT406" s="36"/>
      <c r="BU406" s="36"/>
      <c r="BV406" s="36"/>
      <c r="BW406" s="36"/>
      <c r="BX406" s="36"/>
      <c r="BY406" s="36"/>
    </row>
    <row r="407" spans="1:77" x14ac:dyDescent="0.35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  <c r="AU407" s="36"/>
      <c r="AV407" s="36"/>
      <c r="AW407" s="36"/>
      <c r="AX407" s="36"/>
      <c r="AY407" s="36"/>
      <c r="AZ407" s="36"/>
      <c r="BA407" s="36"/>
      <c r="BB407" s="36"/>
      <c r="BC407" s="36"/>
      <c r="BD407" s="36"/>
      <c r="BE407" s="36"/>
      <c r="BF407" s="36"/>
      <c r="BG407" s="36"/>
      <c r="BH407" s="36"/>
      <c r="BI407" s="36"/>
      <c r="BJ407" s="36"/>
      <c r="BK407" s="36"/>
      <c r="BL407" s="36"/>
      <c r="BM407" s="36"/>
      <c r="BN407" s="36"/>
      <c r="BO407" s="36"/>
      <c r="BP407" s="36"/>
      <c r="BQ407" s="36"/>
      <c r="BR407" s="36"/>
      <c r="BS407" s="36"/>
      <c r="BT407" s="36"/>
      <c r="BU407" s="36"/>
      <c r="BV407" s="36"/>
      <c r="BW407" s="36"/>
      <c r="BX407" s="36"/>
      <c r="BY407" s="36"/>
    </row>
    <row r="408" spans="1:77" x14ac:dyDescent="0.35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  <c r="AU408" s="36"/>
      <c r="AV408" s="36"/>
      <c r="AW408" s="36"/>
      <c r="AX408" s="36"/>
      <c r="AY408" s="36"/>
      <c r="AZ408" s="36"/>
      <c r="BA408" s="36"/>
      <c r="BB408" s="36"/>
      <c r="BC408" s="36"/>
      <c r="BD408" s="36"/>
      <c r="BE408" s="36"/>
      <c r="BF408" s="36"/>
      <c r="BG408" s="36"/>
      <c r="BH408" s="36"/>
      <c r="BI408" s="36"/>
      <c r="BJ408" s="36"/>
      <c r="BK408" s="36"/>
      <c r="BL408" s="36"/>
      <c r="BM408" s="36"/>
      <c r="BN408" s="36"/>
      <c r="BO408" s="36"/>
      <c r="BP408" s="36"/>
      <c r="BQ408" s="36"/>
      <c r="BR408" s="36"/>
      <c r="BS408" s="36"/>
      <c r="BT408" s="36"/>
      <c r="BU408" s="36"/>
      <c r="BV408" s="36"/>
      <c r="BW408" s="36"/>
      <c r="BX408" s="36"/>
      <c r="BY408" s="36"/>
    </row>
    <row r="409" spans="1:77" x14ac:dyDescent="0.35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  <c r="AU409" s="36"/>
      <c r="AV409" s="36"/>
      <c r="AW409" s="36"/>
      <c r="AX409" s="36"/>
      <c r="AY409" s="36"/>
      <c r="AZ409" s="36"/>
      <c r="BA409" s="36"/>
      <c r="BB409" s="36"/>
      <c r="BC409" s="36"/>
      <c r="BD409" s="36"/>
      <c r="BE409" s="36"/>
      <c r="BF409" s="36"/>
      <c r="BG409" s="36"/>
      <c r="BH409" s="36"/>
      <c r="BI409" s="36"/>
      <c r="BJ409" s="36"/>
      <c r="BK409" s="36"/>
      <c r="BL409" s="36"/>
      <c r="BM409" s="36"/>
      <c r="BN409" s="36"/>
      <c r="BO409" s="36"/>
      <c r="BP409" s="36"/>
      <c r="BQ409" s="36"/>
      <c r="BR409" s="36"/>
      <c r="BS409" s="36"/>
      <c r="BT409" s="36"/>
      <c r="BU409" s="36"/>
      <c r="BV409" s="36"/>
      <c r="BW409" s="36"/>
      <c r="BX409" s="36"/>
      <c r="BY409" s="36"/>
    </row>
    <row r="410" spans="1:77" x14ac:dyDescent="0.35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  <c r="AU410" s="36"/>
      <c r="AV410" s="36"/>
      <c r="AW410" s="36"/>
      <c r="AX410" s="36"/>
      <c r="AY410" s="36"/>
      <c r="AZ410" s="36"/>
      <c r="BA410" s="36"/>
      <c r="BB410" s="36"/>
      <c r="BC410" s="36"/>
      <c r="BD410" s="36"/>
      <c r="BE410" s="36"/>
      <c r="BF410" s="36"/>
      <c r="BG410" s="36"/>
      <c r="BH410" s="36"/>
      <c r="BI410" s="36"/>
      <c r="BJ410" s="36"/>
      <c r="BK410" s="36"/>
      <c r="BL410" s="36"/>
      <c r="BM410" s="36"/>
      <c r="BN410" s="36"/>
      <c r="BO410" s="36"/>
      <c r="BP410" s="36"/>
      <c r="BQ410" s="36"/>
      <c r="BR410" s="36"/>
      <c r="BS410" s="36"/>
      <c r="BT410" s="36"/>
      <c r="BU410" s="36"/>
      <c r="BV410" s="36"/>
      <c r="BW410" s="36"/>
      <c r="BX410" s="36"/>
      <c r="BY410" s="36"/>
    </row>
    <row r="411" spans="1:77" x14ac:dyDescent="0.35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  <c r="AU411" s="36"/>
      <c r="AV411" s="36"/>
      <c r="AW411" s="36"/>
      <c r="AX411" s="36"/>
      <c r="AY411" s="36"/>
      <c r="AZ411" s="36"/>
      <c r="BA411" s="36"/>
      <c r="BB411" s="36"/>
      <c r="BC411" s="36"/>
      <c r="BD411" s="36"/>
      <c r="BE411" s="36"/>
      <c r="BF411" s="36"/>
      <c r="BG411" s="36"/>
      <c r="BH411" s="36"/>
      <c r="BI411" s="36"/>
      <c r="BJ411" s="36"/>
      <c r="BK411" s="36"/>
      <c r="BL411" s="36"/>
      <c r="BM411" s="36"/>
      <c r="BN411" s="36"/>
      <c r="BO411" s="36"/>
      <c r="BP411" s="36"/>
      <c r="BQ411" s="36"/>
      <c r="BR411" s="36"/>
      <c r="BS411" s="36"/>
      <c r="BT411" s="36"/>
      <c r="BU411" s="36"/>
      <c r="BV411" s="36"/>
      <c r="BW411" s="36"/>
      <c r="BX411" s="36"/>
      <c r="BY411" s="36"/>
    </row>
    <row r="412" spans="1:77" x14ac:dyDescent="0.35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  <c r="AU412" s="36"/>
      <c r="AV412" s="36"/>
      <c r="AW412" s="36"/>
      <c r="AX412" s="36"/>
      <c r="AY412" s="36"/>
      <c r="AZ412" s="36"/>
      <c r="BA412" s="36"/>
      <c r="BB412" s="36"/>
      <c r="BC412" s="36"/>
      <c r="BD412" s="36"/>
      <c r="BE412" s="36"/>
      <c r="BF412" s="36"/>
      <c r="BG412" s="36"/>
      <c r="BH412" s="36"/>
      <c r="BI412" s="36"/>
      <c r="BJ412" s="36"/>
      <c r="BK412" s="36"/>
      <c r="BL412" s="36"/>
      <c r="BM412" s="36"/>
      <c r="BN412" s="36"/>
      <c r="BO412" s="36"/>
      <c r="BP412" s="36"/>
      <c r="BQ412" s="36"/>
      <c r="BR412" s="36"/>
      <c r="BS412" s="36"/>
      <c r="BT412" s="36"/>
      <c r="BU412" s="36"/>
      <c r="BV412" s="36"/>
      <c r="BW412" s="36"/>
      <c r="BX412" s="36"/>
      <c r="BY412" s="36"/>
    </row>
    <row r="413" spans="1:77" x14ac:dyDescent="0.35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  <c r="AU413" s="36"/>
      <c r="AV413" s="36"/>
      <c r="AW413" s="36"/>
      <c r="AX413" s="36"/>
      <c r="AY413" s="36"/>
      <c r="AZ413" s="36"/>
      <c r="BA413" s="36"/>
      <c r="BB413" s="36"/>
      <c r="BC413" s="36"/>
      <c r="BD413" s="36"/>
      <c r="BE413" s="36"/>
      <c r="BF413" s="36"/>
      <c r="BG413" s="36"/>
      <c r="BH413" s="36"/>
      <c r="BI413" s="36"/>
      <c r="BJ413" s="36"/>
      <c r="BK413" s="36"/>
      <c r="BL413" s="36"/>
      <c r="BM413" s="36"/>
      <c r="BN413" s="36"/>
      <c r="BO413" s="36"/>
      <c r="BP413" s="36"/>
      <c r="BQ413" s="36"/>
      <c r="BR413" s="36"/>
      <c r="BS413" s="36"/>
      <c r="BT413" s="36"/>
      <c r="BU413" s="36"/>
      <c r="BV413" s="36"/>
      <c r="BW413" s="36"/>
      <c r="BX413" s="36"/>
      <c r="BY413" s="36"/>
    </row>
    <row r="414" spans="1:77" x14ac:dyDescent="0.35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  <c r="AU414" s="36"/>
      <c r="AV414" s="36"/>
      <c r="AW414" s="36"/>
      <c r="AX414" s="36"/>
      <c r="AY414" s="36"/>
      <c r="AZ414" s="36"/>
      <c r="BA414" s="36"/>
      <c r="BB414" s="36"/>
      <c r="BC414" s="36"/>
      <c r="BD414" s="36"/>
      <c r="BE414" s="36"/>
      <c r="BF414" s="36"/>
      <c r="BG414" s="36"/>
      <c r="BH414" s="36"/>
      <c r="BI414" s="36"/>
      <c r="BJ414" s="36"/>
      <c r="BK414" s="36"/>
      <c r="BL414" s="36"/>
      <c r="BM414" s="36"/>
      <c r="BN414" s="36"/>
      <c r="BO414" s="36"/>
      <c r="BP414" s="36"/>
      <c r="BQ414" s="36"/>
      <c r="BR414" s="36"/>
      <c r="BS414" s="36"/>
      <c r="BT414" s="36"/>
      <c r="BU414" s="36"/>
      <c r="BV414" s="36"/>
      <c r="BW414" s="36"/>
      <c r="BX414" s="36"/>
      <c r="BY414" s="36"/>
    </row>
    <row r="415" spans="1:77" x14ac:dyDescent="0.35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  <c r="AU415" s="36"/>
      <c r="AV415" s="36"/>
      <c r="AW415" s="36"/>
      <c r="AX415" s="36"/>
      <c r="AY415" s="36"/>
      <c r="AZ415" s="36"/>
      <c r="BA415" s="36"/>
      <c r="BB415" s="36"/>
      <c r="BC415" s="36"/>
      <c r="BD415" s="36"/>
      <c r="BE415" s="36"/>
      <c r="BF415" s="36"/>
      <c r="BG415" s="36"/>
      <c r="BH415" s="36"/>
      <c r="BI415" s="36"/>
      <c r="BJ415" s="36"/>
      <c r="BK415" s="36"/>
      <c r="BL415" s="36"/>
      <c r="BM415" s="36"/>
      <c r="BN415" s="36"/>
      <c r="BO415" s="36"/>
      <c r="BP415" s="36"/>
      <c r="BQ415" s="36"/>
      <c r="BR415" s="36"/>
      <c r="BS415" s="36"/>
      <c r="BT415" s="36"/>
      <c r="BU415" s="36"/>
      <c r="BV415" s="36"/>
      <c r="BW415" s="36"/>
      <c r="BX415" s="36"/>
      <c r="BY415" s="36"/>
    </row>
    <row r="416" spans="1:77" x14ac:dyDescent="0.35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  <c r="AW416" s="36"/>
      <c r="AX416" s="36"/>
      <c r="AY416" s="36"/>
      <c r="AZ416" s="36"/>
      <c r="BA416" s="36"/>
      <c r="BB416" s="36"/>
      <c r="BC416" s="36"/>
      <c r="BD416" s="36"/>
      <c r="BE416" s="36"/>
      <c r="BF416" s="36"/>
      <c r="BG416" s="36"/>
      <c r="BH416" s="36"/>
      <c r="BI416" s="36"/>
      <c r="BJ416" s="36"/>
      <c r="BK416" s="36"/>
      <c r="BL416" s="36"/>
      <c r="BM416" s="36"/>
      <c r="BN416" s="36"/>
      <c r="BO416" s="36"/>
      <c r="BP416" s="36"/>
      <c r="BQ416" s="36"/>
      <c r="BR416" s="36"/>
      <c r="BS416" s="36"/>
      <c r="BT416" s="36"/>
      <c r="BU416" s="36"/>
      <c r="BV416" s="36"/>
      <c r="BW416" s="36"/>
      <c r="BX416" s="36"/>
      <c r="BY416" s="36"/>
    </row>
    <row r="417" spans="1:77" x14ac:dyDescent="0.35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  <c r="AU417" s="36"/>
      <c r="AV417" s="36"/>
      <c r="AW417" s="36"/>
      <c r="AX417" s="36"/>
      <c r="AY417" s="36"/>
      <c r="AZ417" s="36"/>
      <c r="BA417" s="36"/>
      <c r="BB417" s="36"/>
      <c r="BC417" s="36"/>
      <c r="BD417" s="36"/>
      <c r="BE417" s="36"/>
      <c r="BF417" s="36"/>
      <c r="BG417" s="36"/>
      <c r="BH417" s="36"/>
      <c r="BI417" s="36"/>
      <c r="BJ417" s="36"/>
      <c r="BK417" s="36"/>
      <c r="BL417" s="36"/>
      <c r="BM417" s="36"/>
      <c r="BN417" s="36"/>
      <c r="BO417" s="36"/>
      <c r="BP417" s="36"/>
      <c r="BQ417" s="36"/>
      <c r="BR417" s="36"/>
      <c r="BS417" s="36"/>
      <c r="BT417" s="36"/>
      <c r="BU417" s="36"/>
      <c r="BV417" s="36"/>
      <c r="BW417" s="36"/>
      <c r="BX417" s="36"/>
      <c r="BY417" s="36"/>
    </row>
    <row r="418" spans="1:77" x14ac:dyDescent="0.35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  <c r="AU418" s="36"/>
      <c r="AV418" s="36"/>
      <c r="AW418" s="36"/>
      <c r="AX418" s="36"/>
      <c r="AY418" s="36"/>
      <c r="AZ418" s="36"/>
      <c r="BA418" s="36"/>
      <c r="BB418" s="36"/>
      <c r="BC418" s="36"/>
      <c r="BD418" s="36"/>
      <c r="BE418" s="36"/>
      <c r="BF418" s="36"/>
      <c r="BG418" s="36"/>
      <c r="BH418" s="36"/>
      <c r="BI418" s="36"/>
      <c r="BJ418" s="36"/>
      <c r="BK418" s="36"/>
      <c r="BL418" s="36"/>
      <c r="BM418" s="36"/>
      <c r="BN418" s="36"/>
      <c r="BO418" s="36"/>
      <c r="BP418" s="36"/>
      <c r="BQ418" s="36"/>
      <c r="BR418" s="36"/>
      <c r="BS418" s="36"/>
      <c r="BT418" s="36"/>
      <c r="BU418" s="36"/>
      <c r="BV418" s="36"/>
      <c r="BW418" s="36"/>
      <c r="BX418" s="36"/>
      <c r="BY418" s="36"/>
    </row>
    <row r="419" spans="1:77" x14ac:dyDescent="0.35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  <c r="AU419" s="36"/>
      <c r="AV419" s="36"/>
      <c r="AW419" s="36"/>
      <c r="AX419" s="36"/>
      <c r="AY419" s="36"/>
      <c r="AZ419" s="36"/>
      <c r="BA419" s="36"/>
      <c r="BB419" s="36"/>
      <c r="BC419" s="36"/>
      <c r="BD419" s="36"/>
      <c r="BE419" s="36"/>
      <c r="BF419" s="36"/>
      <c r="BG419" s="36"/>
      <c r="BH419" s="36"/>
      <c r="BI419" s="36"/>
      <c r="BJ419" s="36"/>
      <c r="BK419" s="36"/>
      <c r="BL419" s="36"/>
      <c r="BM419" s="36"/>
      <c r="BN419" s="36"/>
      <c r="BO419" s="36"/>
      <c r="BP419" s="36"/>
      <c r="BQ419" s="36"/>
      <c r="BR419" s="36"/>
      <c r="BS419" s="36"/>
      <c r="BT419" s="36"/>
      <c r="BU419" s="36"/>
      <c r="BV419" s="36"/>
      <c r="BW419" s="36"/>
      <c r="BX419" s="36"/>
      <c r="BY419" s="36"/>
    </row>
    <row r="420" spans="1:77" x14ac:dyDescent="0.35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  <c r="AU420" s="36"/>
      <c r="AV420" s="36"/>
      <c r="AW420" s="36"/>
      <c r="AX420" s="36"/>
      <c r="AY420" s="36"/>
      <c r="AZ420" s="36"/>
      <c r="BA420" s="36"/>
      <c r="BB420" s="36"/>
      <c r="BC420" s="36"/>
      <c r="BD420" s="36"/>
      <c r="BE420" s="36"/>
      <c r="BF420" s="36"/>
      <c r="BG420" s="36"/>
      <c r="BH420" s="36"/>
      <c r="BI420" s="36"/>
      <c r="BJ420" s="36"/>
      <c r="BK420" s="36"/>
      <c r="BL420" s="36"/>
      <c r="BM420" s="36"/>
      <c r="BN420" s="36"/>
      <c r="BO420" s="36"/>
      <c r="BP420" s="36"/>
      <c r="BQ420" s="36"/>
      <c r="BR420" s="36"/>
      <c r="BS420" s="36"/>
      <c r="BT420" s="36"/>
      <c r="BU420" s="36"/>
      <c r="BV420" s="36"/>
      <c r="BW420" s="36"/>
      <c r="BX420" s="36"/>
      <c r="BY420" s="36"/>
    </row>
    <row r="421" spans="1:77" x14ac:dyDescent="0.35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  <c r="AU421" s="36"/>
      <c r="AV421" s="36"/>
      <c r="AW421" s="36"/>
      <c r="AX421" s="36"/>
      <c r="AY421" s="36"/>
      <c r="AZ421" s="36"/>
      <c r="BA421" s="36"/>
      <c r="BB421" s="36"/>
      <c r="BC421" s="36"/>
      <c r="BD421" s="36"/>
      <c r="BE421" s="36"/>
      <c r="BF421" s="36"/>
      <c r="BG421" s="36"/>
      <c r="BH421" s="36"/>
      <c r="BI421" s="36"/>
      <c r="BJ421" s="36"/>
      <c r="BK421" s="36"/>
      <c r="BL421" s="36"/>
      <c r="BM421" s="36"/>
      <c r="BN421" s="36"/>
      <c r="BO421" s="36"/>
      <c r="BP421" s="36"/>
      <c r="BQ421" s="36"/>
      <c r="BR421" s="36"/>
      <c r="BS421" s="36"/>
      <c r="BT421" s="36"/>
      <c r="BU421" s="36"/>
      <c r="BV421" s="36"/>
      <c r="BW421" s="36"/>
      <c r="BX421" s="36"/>
      <c r="BY421" s="36"/>
    </row>
    <row r="422" spans="1:77" x14ac:dyDescent="0.35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  <c r="AU422" s="36"/>
      <c r="AV422" s="36"/>
      <c r="AW422" s="36"/>
      <c r="AX422" s="36"/>
      <c r="AY422" s="36"/>
      <c r="AZ422" s="36"/>
      <c r="BA422" s="36"/>
      <c r="BB422" s="36"/>
      <c r="BC422" s="36"/>
      <c r="BD422" s="36"/>
      <c r="BE422" s="36"/>
      <c r="BF422" s="36"/>
      <c r="BG422" s="36"/>
      <c r="BH422" s="36"/>
      <c r="BI422" s="36"/>
      <c r="BJ422" s="36"/>
      <c r="BK422" s="36"/>
      <c r="BL422" s="36"/>
      <c r="BM422" s="36"/>
      <c r="BN422" s="36"/>
      <c r="BO422" s="36"/>
      <c r="BP422" s="36"/>
      <c r="BQ422" s="36"/>
      <c r="BR422" s="36"/>
      <c r="BS422" s="36"/>
      <c r="BT422" s="36"/>
      <c r="BU422" s="36"/>
      <c r="BV422" s="36"/>
      <c r="BW422" s="36"/>
      <c r="BX422" s="36"/>
      <c r="BY422" s="36"/>
    </row>
    <row r="423" spans="1:77" x14ac:dyDescent="0.35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  <c r="AU423" s="36"/>
      <c r="AV423" s="36"/>
      <c r="AW423" s="36"/>
      <c r="AX423" s="36"/>
      <c r="AY423" s="36"/>
      <c r="AZ423" s="36"/>
      <c r="BA423" s="36"/>
      <c r="BB423" s="36"/>
      <c r="BC423" s="36"/>
      <c r="BD423" s="36"/>
      <c r="BE423" s="36"/>
      <c r="BF423" s="36"/>
      <c r="BG423" s="36"/>
      <c r="BH423" s="36"/>
      <c r="BI423" s="36"/>
      <c r="BJ423" s="36"/>
      <c r="BK423" s="36"/>
      <c r="BL423" s="36"/>
      <c r="BM423" s="36"/>
      <c r="BN423" s="36"/>
      <c r="BO423" s="36"/>
      <c r="BP423" s="36"/>
      <c r="BQ423" s="36"/>
      <c r="BR423" s="36"/>
      <c r="BS423" s="36"/>
      <c r="BT423" s="36"/>
      <c r="BU423" s="36"/>
      <c r="BV423" s="36"/>
      <c r="BW423" s="36"/>
      <c r="BX423" s="36"/>
      <c r="BY423" s="36"/>
    </row>
    <row r="424" spans="1:77" x14ac:dyDescent="0.35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  <c r="AU424" s="36"/>
      <c r="AV424" s="36"/>
      <c r="AW424" s="36"/>
      <c r="AX424" s="36"/>
      <c r="AY424" s="36"/>
      <c r="AZ424" s="36"/>
      <c r="BA424" s="36"/>
      <c r="BB424" s="36"/>
      <c r="BC424" s="36"/>
      <c r="BD424" s="36"/>
      <c r="BE424" s="36"/>
      <c r="BF424" s="36"/>
      <c r="BG424" s="36"/>
      <c r="BH424" s="36"/>
      <c r="BI424" s="36"/>
      <c r="BJ424" s="36"/>
      <c r="BK424" s="36"/>
      <c r="BL424" s="36"/>
      <c r="BM424" s="36"/>
      <c r="BN424" s="36"/>
      <c r="BO424" s="36"/>
      <c r="BP424" s="36"/>
      <c r="BQ424" s="36"/>
      <c r="BR424" s="36"/>
      <c r="BS424" s="36"/>
      <c r="BT424" s="36"/>
      <c r="BU424" s="36"/>
      <c r="BV424" s="36"/>
      <c r="BW424" s="36"/>
      <c r="BX424" s="36"/>
      <c r="BY424" s="36"/>
    </row>
    <row r="425" spans="1:77" x14ac:dyDescent="0.35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  <c r="AU425" s="36"/>
      <c r="AV425" s="36"/>
      <c r="AW425" s="36"/>
      <c r="AX425" s="36"/>
      <c r="AY425" s="36"/>
      <c r="AZ425" s="36"/>
      <c r="BA425" s="36"/>
      <c r="BB425" s="36"/>
      <c r="BC425" s="36"/>
      <c r="BD425" s="36"/>
      <c r="BE425" s="36"/>
      <c r="BF425" s="36"/>
      <c r="BG425" s="36"/>
      <c r="BH425" s="36"/>
      <c r="BI425" s="36"/>
      <c r="BJ425" s="36"/>
      <c r="BK425" s="36"/>
      <c r="BL425" s="36"/>
      <c r="BM425" s="36"/>
      <c r="BN425" s="36"/>
      <c r="BO425" s="36"/>
      <c r="BP425" s="36"/>
      <c r="BQ425" s="36"/>
      <c r="BR425" s="36"/>
      <c r="BS425" s="36"/>
      <c r="BT425" s="36"/>
      <c r="BU425" s="36"/>
      <c r="BV425" s="36"/>
      <c r="BW425" s="36"/>
      <c r="BX425" s="36"/>
      <c r="BY425" s="36"/>
    </row>
    <row r="426" spans="1:77" x14ac:dyDescent="0.35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  <c r="AU426" s="36"/>
      <c r="AV426" s="36"/>
      <c r="AW426" s="36"/>
      <c r="AX426" s="36"/>
      <c r="AY426" s="36"/>
      <c r="AZ426" s="36"/>
      <c r="BA426" s="36"/>
      <c r="BB426" s="36"/>
      <c r="BC426" s="36"/>
      <c r="BD426" s="36"/>
      <c r="BE426" s="36"/>
      <c r="BF426" s="36"/>
      <c r="BG426" s="36"/>
      <c r="BH426" s="36"/>
      <c r="BI426" s="36"/>
      <c r="BJ426" s="36"/>
      <c r="BK426" s="36"/>
      <c r="BL426" s="36"/>
      <c r="BM426" s="36"/>
      <c r="BN426" s="36"/>
      <c r="BO426" s="36"/>
      <c r="BP426" s="36"/>
      <c r="BQ426" s="36"/>
      <c r="BR426" s="36"/>
      <c r="BS426" s="36"/>
      <c r="BT426" s="36"/>
      <c r="BU426" s="36"/>
      <c r="BV426" s="36"/>
      <c r="BW426" s="36"/>
      <c r="BX426" s="36"/>
      <c r="BY426" s="36"/>
    </row>
    <row r="427" spans="1:77" x14ac:dyDescent="0.35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  <c r="AU427" s="36"/>
      <c r="AV427" s="36"/>
      <c r="AW427" s="36"/>
      <c r="AX427" s="36"/>
      <c r="AY427" s="36"/>
      <c r="AZ427" s="36"/>
      <c r="BA427" s="36"/>
      <c r="BB427" s="36"/>
      <c r="BC427" s="36"/>
      <c r="BD427" s="36"/>
      <c r="BE427" s="36"/>
      <c r="BF427" s="36"/>
      <c r="BG427" s="36"/>
      <c r="BH427" s="36"/>
      <c r="BI427" s="36"/>
      <c r="BJ427" s="36"/>
      <c r="BK427" s="36"/>
      <c r="BL427" s="36"/>
      <c r="BM427" s="36"/>
      <c r="BN427" s="36"/>
      <c r="BO427" s="36"/>
      <c r="BP427" s="36"/>
      <c r="BQ427" s="36"/>
      <c r="BR427" s="36"/>
      <c r="BS427" s="36"/>
      <c r="BT427" s="36"/>
      <c r="BU427" s="36"/>
      <c r="BV427" s="36"/>
      <c r="BW427" s="36"/>
      <c r="BX427" s="36"/>
      <c r="BY427" s="36"/>
    </row>
    <row r="428" spans="1:77" x14ac:dyDescent="0.35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  <c r="AU428" s="36"/>
      <c r="AV428" s="36"/>
      <c r="AW428" s="36"/>
      <c r="AX428" s="36"/>
      <c r="AY428" s="36"/>
      <c r="AZ428" s="36"/>
      <c r="BA428" s="36"/>
      <c r="BB428" s="36"/>
      <c r="BC428" s="36"/>
      <c r="BD428" s="36"/>
      <c r="BE428" s="36"/>
      <c r="BF428" s="36"/>
      <c r="BG428" s="36"/>
      <c r="BH428" s="36"/>
      <c r="BI428" s="36"/>
      <c r="BJ428" s="36"/>
      <c r="BK428" s="36"/>
      <c r="BL428" s="36"/>
      <c r="BM428" s="36"/>
      <c r="BN428" s="36"/>
      <c r="BO428" s="36"/>
      <c r="BP428" s="36"/>
      <c r="BQ428" s="36"/>
      <c r="BR428" s="36"/>
      <c r="BS428" s="36"/>
      <c r="BT428" s="36"/>
      <c r="BU428" s="36"/>
      <c r="BV428" s="36"/>
      <c r="BW428" s="36"/>
      <c r="BX428" s="36"/>
      <c r="BY428" s="36"/>
    </row>
    <row r="429" spans="1:77" x14ac:dyDescent="0.35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  <c r="AU429" s="36"/>
      <c r="AV429" s="36"/>
      <c r="AW429" s="36"/>
      <c r="AX429" s="36"/>
      <c r="AY429" s="36"/>
      <c r="AZ429" s="36"/>
      <c r="BA429" s="36"/>
      <c r="BB429" s="36"/>
      <c r="BC429" s="36"/>
      <c r="BD429" s="36"/>
      <c r="BE429" s="36"/>
      <c r="BF429" s="36"/>
      <c r="BG429" s="36"/>
      <c r="BH429" s="36"/>
      <c r="BI429" s="36"/>
      <c r="BJ429" s="36"/>
      <c r="BK429" s="36"/>
      <c r="BL429" s="36"/>
      <c r="BM429" s="36"/>
      <c r="BN429" s="36"/>
      <c r="BO429" s="36"/>
      <c r="BP429" s="36"/>
      <c r="BQ429" s="36"/>
      <c r="BR429" s="36"/>
      <c r="BS429" s="36"/>
      <c r="BT429" s="36"/>
      <c r="BU429" s="36"/>
      <c r="BV429" s="36"/>
      <c r="BW429" s="36"/>
      <c r="BX429" s="36"/>
      <c r="BY429" s="36"/>
    </row>
    <row r="430" spans="1:77" x14ac:dyDescent="0.35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  <c r="AU430" s="36"/>
      <c r="AV430" s="36"/>
      <c r="AW430" s="36"/>
      <c r="AX430" s="36"/>
      <c r="AY430" s="36"/>
      <c r="AZ430" s="36"/>
      <c r="BA430" s="36"/>
      <c r="BB430" s="36"/>
      <c r="BC430" s="36"/>
      <c r="BD430" s="36"/>
      <c r="BE430" s="36"/>
      <c r="BF430" s="36"/>
      <c r="BG430" s="36"/>
      <c r="BH430" s="36"/>
      <c r="BI430" s="36"/>
      <c r="BJ430" s="36"/>
      <c r="BK430" s="36"/>
      <c r="BL430" s="36"/>
      <c r="BM430" s="36"/>
      <c r="BN430" s="36"/>
      <c r="BO430" s="36"/>
      <c r="BP430" s="36"/>
      <c r="BQ430" s="36"/>
      <c r="BR430" s="36"/>
      <c r="BS430" s="36"/>
      <c r="BT430" s="36"/>
      <c r="BU430" s="36"/>
      <c r="BV430" s="36"/>
      <c r="BW430" s="36"/>
      <c r="BX430" s="36"/>
      <c r="BY430" s="36"/>
    </row>
    <row r="431" spans="1:77" x14ac:dyDescent="0.35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  <c r="AU431" s="36"/>
      <c r="AV431" s="36"/>
      <c r="AW431" s="36"/>
      <c r="AX431" s="36"/>
      <c r="AY431" s="36"/>
      <c r="AZ431" s="36"/>
      <c r="BA431" s="36"/>
      <c r="BB431" s="36"/>
      <c r="BC431" s="36"/>
      <c r="BD431" s="36"/>
      <c r="BE431" s="36"/>
      <c r="BF431" s="36"/>
      <c r="BG431" s="36"/>
      <c r="BH431" s="36"/>
      <c r="BI431" s="36"/>
      <c r="BJ431" s="36"/>
      <c r="BK431" s="36"/>
      <c r="BL431" s="36"/>
      <c r="BM431" s="36"/>
      <c r="BN431" s="36"/>
      <c r="BO431" s="36"/>
      <c r="BP431" s="36"/>
      <c r="BQ431" s="36"/>
      <c r="BR431" s="36"/>
      <c r="BS431" s="36"/>
      <c r="BT431" s="36"/>
      <c r="BU431" s="36"/>
      <c r="BV431" s="36"/>
      <c r="BW431" s="36"/>
      <c r="BX431" s="36"/>
      <c r="BY431" s="36"/>
    </row>
    <row r="432" spans="1:77" x14ac:dyDescent="0.35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  <c r="AU432" s="36"/>
      <c r="AV432" s="36"/>
      <c r="AW432" s="36"/>
      <c r="AX432" s="36"/>
      <c r="AY432" s="36"/>
      <c r="AZ432" s="36"/>
      <c r="BA432" s="36"/>
      <c r="BB432" s="36"/>
      <c r="BC432" s="36"/>
      <c r="BD432" s="36"/>
      <c r="BE432" s="36"/>
      <c r="BF432" s="36"/>
      <c r="BG432" s="36"/>
      <c r="BH432" s="36"/>
      <c r="BI432" s="36"/>
      <c r="BJ432" s="36"/>
      <c r="BK432" s="36"/>
      <c r="BL432" s="36"/>
      <c r="BM432" s="36"/>
      <c r="BN432" s="36"/>
      <c r="BO432" s="36"/>
      <c r="BP432" s="36"/>
      <c r="BQ432" s="36"/>
      <c r="BR432" s="36"/>
      <c r="BS432" s="36"/>
      <c r="BT432" s="36"/>
      <c r="BU432" s="36"/>
      <c r="BV432" s="36"/>
      <c r="BW432" s="36"/>
      <c r="BX432" s="36"/>
      <c r="BY432" s="36"/>
    </row>
    <row r="433" spans="1:77" x14ac:dyDescent="0.35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  <c r="AU433" s="36"/>
      <c r="AV433" s="36"/>
      <c r="AW433" s="36"/>
      <c r="AX433" s="36"/>
      <c r="AY433" s="36"/>
      <c r="AZ433" s="36"/>
      <c r="BA433" s="36"/>
      <c r="BB433" s="36"/>
      <c r="BC433" s="36"/>
      <c r="BD433" s="36"/>
      <c r="BE433" s="36"/>
      <c r="BF433" s="36"/>
      <c r="BG433" s="36"/>
      <c r="BH433" s="36"/>
      <c r="BI433" s="36"/>
      <c r="BJ433" s="36"/>
      <c r="BK433" s="36"/>
      <c r="BL433" s="36"/>
      <c r="BM433" s="36"/>
      <c r="BN433" s="36"/>
      <c r="BO433" s="36"/>
      <c r="BP433" s="36"/>
      <c r="BQ433" s="36"/>
      <c r="BR433" s="36"/>
      <c r="BS433" s="36"/>
      <c r="BT433" s="36"/>
      <c r="BU433" s="36"/>
      <c r="BV433" s="36"/>
      <c r="BW433" s="36"/>
      <c r="BX433" s="36"/>
      <c r="BY433" s="36"/>
    </row>
    <row r="434" spans="1:77" x14ac:dyDescent="0.35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  <c r="AU434" s="36"/>
      <c r="AV434" s="36"/>
      <c r="AW434" s="36"/>
      <c r="AX434" s="36"/>
      <c r="AY434" s="36"/>
      <c r="AZ434" s="36"/>
      <c r="BA434" s="36"/>
      <c r="BB434" s="36"/>
      <c r="BC434" s="36"/>
      <c r="BD434" s="36"/>
      <c r="BE434" s="36"/>
      <c r="BF434" s="36"/>
      <c r="BG434" s="36"/>
      <c r="BH434" s="36"/>
      <c r="BI434" s="36"/>
      <c r="BJ434" s="36"/>
      <c r="BK434" s="36"/>
      <c r="BL434" s="36"/>
      <c r="BM434" s="36"/>
      <c r="BN434" s="36"/>
      <c r="BO434" s="36"/>
      <c r="BP434" s="36"/>
      <c r="BQ434" s="36"/>
      <c r="BR434" s="36"/>
      <c r="BS434" s="36"/>
      <c r="BT434" s="36"/>
      <c r="BU434" s="36"/>
      <c r="BV434" s="36"/>
      <c r="BW434" s="36"/>
      <c r="BX434" s="36"/>
      <c r="BY434" s="36"/>
    </row>
    <row r="435" spans="1:77" x14ac:dyDescent="0.35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  <c r="AU435" s="36"/>
      <c r="AV435" s="36"/>
      <c r="AW435" s="36"/>
      <c r="AX435" s="36"/>
      <c r="AY435" s="36"/>
      <c r="AZ435" s="36"/>
      <c r="BA435" s="36"/>
      <c r="BB435" s="36"/>
      <c r="BC435" s="36"/>
      <c r="BD435" s="36"/>
      <c r="BE435" s="36"/>
      <c r="BF435" s="36"/>
      <c r="BG435" s="36"/>
      <c r="BH435" s="36"/>
      <c r="BI435" s="36"/>
      <c r="BJ435" s="36"/>
      <c r="BK435" s="36"/>
      <c r="BL435" s="36"/>
      <c r="BM435" s="36"/>
      <c r="BN435" s="36"/>
      <c r="BO435" s="36"/>
      <c r="BP435" s="36"/>
      <c r="BQ435" s="36"/>
      <c r="BR435" s="36"/>
      <c r="BS435" s="36"/>
      <c r="BT435" s="36"/>
      <c r="BU435" s="36"/>
      <c r="BV435" s="36"/>
      <c r="BW435" s="36"/>
      <c r="BX435" s="36"/>
      <c r="BY435" s="36"/>
    </row>
    <row r="436" spans="1:77" x14ac:dyDescent="0.35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  <c r="AU436" s="36"/>
      <c r="AV436" s="36"/>
      <c r="AW436" s="36"/>
      <c r="AX436" s="36"/>
      <c r="AY436" s="36"/>
      <c r="AZ436" s="36"/>
      <c r="BA436" s="36"/>
      <c r="BB436" s="36"/>
      <c r="BC436" s="36"/>
      <c r="BD436" s="36"/>
      <c r="BE436" s="36"/>
      <c r="BF436" s="36"/>
      <c r="BG436" s="36"/>
      <c r="BH436" s="36"/>
      <c r="BI436" s="36"/>
      <c r="BJ436" s="36"/>
      <c r="BK436" s="36"/>
      <c r="BL436" s="36"/>
      <c r="BM436" s="36"/>
      <c r="BN436" s="36"/>
      <c r="BO436" s="36"/>
      <c r="BP436" s="36"/>
      <c r="BQ436" s="36"/>
      <c r="BR436" s="36"/>
      <c r="BS436" s="36"/>
      <c r="BT436" s="36"/>
      <c r="BU436" s="36"/>
      <c r="BV436" s="36"/>
      <c r="BW436" s="36"/>
      <c r="BX436" s="36"/>
      <c r="BY436" s="36"/>
    </row>
  </sheetData>
  <mergeCells count="4">
    <mergeCell ref="B39:N39"/>
    <mergeCell ref="B50:N50"/>
    <mergeCell ref="B12:N12"/>
    <mergeCell ref="B2:G6"/>
  </mergeCells>
  <conditionalFormatting sqref="C35">
    <cfRule type="cellIs" dxfId="7" priority="1" operator="equal">
      <formula>FALSE</formula>
    </cfRule>
    <cfRule type="containsText" dxfId="6" priority="2" operator="containsText" text="TRUE">
      <formula>NOT(ISERROR(SEARCH("TRUE",C35)))</formula>
    </cfRule>
  </conditionalFormatting>
  <conditionalFormatting sqref="D35">
    <cfRule type="cellIs" dxfId="5" priority="3" operator="equal">
      <formula>FALSE</formula>
    </cfRule>
    <cfRule type="containsText" dxfId="4" priority="4" operator="containsText" text="TRUE">
      <formula>NOT(ISERROR(SEARCH("TRUE",D35)))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36DF-6691-8447-8668-7267AE1DA147}">
  <sheetPr>
    <tabColor theme="7" tint="0.59999389629810485"/>
  </sheetPr>
  <dimension ref="A1:E66"/>
  <sheetViews>
    <sheetView zoomScale="99" zoomScaleNormal="100" workbookViewId="0">
      <selection activeCell="A9" sqref="A9"/>
    </sheetView>
  </sheetViews>
  <sheetFormatPr defaultColWidth="10.83203125" defaultRowHeight="15.5" x14ac:dyDescent="0.35"/>
  <cols>
    <col min="1" max="1" width="66.33203125" style="47" bestFit="1" customWidth="1"/>
    <col min="2" max="2" width="18.33203125" style="83" bestFit="1" customWidth="1"/>
    <col min="3" max="3" width="55.1640625" style="49" customWidth="1"/>
    <col min="4" max="4" width="30.1640625" style="49" bestFit="1" customWidth="1"/>
    <col min="5" max="5" width="69.5" style="79" customWidth="1"/>
    <col min="6" max="16384" width="10.83203125" style="2"/>
  </cols>
  <sheetData>
    <row r="1" spans="1:5" x14ac:dyDescent="0.35">
      <c r="B1" s="81" t="s">
        <v>109</v>
      </c>
      <c r="C1" s="67" t="s">
        <v>110</v>
      </c>
      <c r="D1" s="67" t="s">
        <v>275</v>
      </c>
      <c r="E1" s="67" t="s">
        <v>267</v>
      </c>
    </row>
    <row r="2" spans="1:5" x14ac:dyDescent="0.35">
      <c r="A2" s="65" t="s">
        <v>27</v>
      </c>
      <c r="B2" s="82"/>
      <c r="C2" s="66"/>
      <c r="D2" s="66"/>
      <c r="E2" s="77"/>
    </row>
    <row r="3" spans="1:5" ht="31" x14ac:dyDescent="0.35">
      <c r="A3" s="47" t="s">
        <v>24</v>
      </c>
      <c r="B3" s="91">
        <v>3</v>
      </c>
      <c r="C3" s="49" t="s">
        <v>184</v>
      </c>
      <c r="D3" s="49">
        <v>3</v>
      </c>
      <c r="E3" s="80" t="s">
        <v>170</v>
      </c>
    </row>
    <row r="4" spans="1:5" x14ac:dyDescent="0.35">
      <c r="A4" s="2" t="s">
        <v>233</v>
      </c>
      <c r="B4" s="30">
        <v>120</v>
      </c>
      <c r="C4" s="2" t="s">
        <v>234</v>
      </c>
      <c r="D4" s="2">
        <v>120</v>
      </c>
      <c r="E4" s="53" t="s">
        <v>235</v>
      </c>
    </row>
    <row r="5" spans="1:5" x14ac:dyDescent="0.35">
      <c r="A5" s="1"/>
      <c r="B5" s="1"/>
      <c r="C5" s="1"/>
      <c r="D5" s="1"/>
      <c r="E5" s="6"/>
    </row>
    <row r="6" spans="1:5" x14ac:dyDescent="0.35">
      <c r="A6" s="65" t="s">
        <v>206</v>
      </c>
      <c r="B6" s="82"/>
      <c r="C6" s="66"/>
      <c r="D6" s="66"/>
      <c r="E6" s="88"/>
    </row>
    <row r="7" spans="1:5" ht="31" x14ac:dyDescent="0.35">
      <c r="A7" s="47" t="s">
        <v>37</v>
      </c>
      <c r="B7" s="92">
        <v>100000</v>
      </c>
      <c r="C7" s="49" t="s">
        <v>140</v>
      </c>
      <c r="D7" s="49" t="s">
        <v>144</v>
      </c>
      <c r="E7" s="78" t="s">
        <v>144</v>
      </c>
    </row>
    <row r="8" spans="1:5" ht="31" x14ac:dyDescent="0.35">
      <c r="A8" s="47" t="s">
        <v>41</v>
      </c>
      <c r="B8" s="92">
        <v>20</v>
      </c>
      <c r="C8" s="49" t="s">
        <v>143</v>
      </c>
      <c r="D8" s="49" t="s">
        <v>144</v>
      </c>
      <c r="E8" s="78" t="s">
        <v>144</v>
      </c>
    </row>
    <row r="9" spans="1:5" ht="46.5" x14ac:dyDescent="0.35">
      <c r="A9" s="47" t="s">
        <v>38</v>
      </c>
      <c r="B9" s="92" t="s">
        <v>256</v>
      </c>
      <c r="C9" s="49" t="s">
        <v>171</v>
      </c>
      <c r="D9" s="49" t="s">
        <v>144</v>
      </c>
      <c r="E9" s="78" t="s">
        <v>144</v>
      </c>
    </row>
    <row r="10" spans="1:5" ht="31" x14ac:dyDescent="0.35">
      <c r="A10" s="47" t="s">
        <v>209</v>
      </c>
      <c r="B10" s="92">
        <v>20</v>
      </c>
      <c r="C10" s="49" t="s">
        <v>172</v>
      </c>
      <c r="D10" s="49" t="s">
        <v>144</v>
      </c>
      <c r="E10" s="78" t="s">
        <v>144</v>
      </c>
    </row>
    <row r="11" spans="1:5" ht="31" x14ac:dyDescent="0.35">
      <c r="A11" s="47" t="s">
        <v>210</v>
      </c>
      <c r="B11" s="92">
        <v>5</v>
      </c>
      <c r="C11" s="49" t="s">
        <v>176</v>
      </c>
      <c r="D11" s="49" t="s">
        <v>144</v>
      </c>
      <c r="E11" s="78" t="s">
        <v>144</v>
      </c>
    </row>
    <row r="12" spans="1:5" ht="31" x14ac:dyDescent="0.35">
      <c r="A12" s="47" t="s">
        <v>211</v>
      </c>
      <c r="B12" s="92">
        <v>16</v>
      </c>
      <c r="C12" s="49" t="s">
        <v>177</v>
      </c>
      <c r="D12" s="49" t="s">
        <v>144</v>
      </c>
      <c r="E12" s="78" t="s">
        <v>144</v>
      </c>
    </row>
    <row r="13" spans="1:5" x14ac:dyDescent="0.35">
      <c r="E13" s="78"/>
    </row>
    <row r="14" spans="1:5" x14ac:dyDescent="0.35">
      <c r="A14" s="65" t="s">
        <v>207</v>
      </c>
      <c r="B14" s="82"/>
      <c r="C14" s="66"/>
      <c r="D14" s="66"/>
      <c r="E14" s="88"/>
    </row>
    <row r="15" spans="1:5" ht="62" x14ac:dyDescent="0.35">
      <c r="A15" s="50" t="s">
        <v>212</v>
      </c>
      <c r="B15" s="92" t="s">
        <v>245</v>
      </c>
      <c r="C15" s="49" t="s">
        <v>142</v>
      </c>
      <c r="D15" s="49" t="s">
        <v>245</v>
      </c>
      <c r="E15" s="80" t="s">
        <v>139</v>
      </c>
    </row>
    <row r="16" spans="1:5" ht="46.5" x14ac:dyDescent="0.35">
      <c r="A16" s="47" t="s">
        <v>129</v>
      </c>
      <c r="B16" s="92">
        <v>20</v>
      </c>
      <c r="C16" s="49" t="s">
        <v>154</v>
      </c>
      <c r="D16" s="49">
        <v>20</v>
      </c>
      <c r="E16" s="80" t="s">
        <v>153</v>
      </c>
    </row>
    <row r="17" spans="1:5" ht="46.5" x14ac:dyDescent="0.35">
      <c r="A17" s="47" t="s">
        <v>108</v>
      </c>
      <c r="B17" s="92">
        <v>80</v>
      </c>
      <c r="C17" s="49" t="s">
        <v>160</v>
      </c>
      <c r="D17" s="49" t="s">
        <v>144</v>
      </c>
      <c r="E17" s="78" t="s">
        <v>144</v>
      </c>
    </row>
    <row r="18" spans="1:5" ht="46.5" x14ac:dyDescent="0.35">
      <c r="A18" s="47" t="s">
        <v>6</v>
      </c>
      <c r="B18" s="92">
        <v>20</v>
      </c>
      <c r="C18" s="49" t="s">
        <v>169</v>
      </c>
      <c r="D18" s="49" t="s">
        <v>144</v>
      </c>
      <c r="E18" s="78" t="s">
        <v>144</v>
      </c>
    </row>
    <row r="19" spans="1:5" x14ac:dyDescent="0.35">
      <c r="A19" s="47" t="s">
        <v>161</v>
      </c>
      <c r="B19" s="46" t="b">
        <f>IF(SUM(B17:B18) = 100, TRUE, FALSE)</f>
        <v>1</v>
      </c>
      <c r="C19" s="49" t="s">
        <v>152</v>
      </c>
      <c r="E19" s="78" t="s">
        <v>144</v>
      </c>
    </row>
    <row r="20" spans="1:5" ht="46.5" x14ac:dyDescent="0.35">
      <c r="A20" s="47" t="s">
        <v>63</v>
      </c>
      <c r="B20" s="92">
        <v>2</v>
      </c>
      <c r="C20" s="49" t="s">
        <v>178</v>
      </c>
      <c r="D20" s="49" t="s">
        <v>144</v>
      </c>
      <c r="E20" s="78" t="s">
        <v>144</v>
      </c>
    </row>
    <row r="21" spans="1:5" x14ac:dyDescent="0.35">
      <c r="A21" s="47" t="s">
        <v>179</v>
      </c>
      <c r="B21" s="92">
        <v>10</v>
      </c>
      <c r="C21" s="49" t="s">
        <v>180</v>
      </c>
      <c r="D21" s="49" t="s">
        <v>276</v>
      </c>
      <c r="E21" s="78" t="s">
        <v>144</v>
      </c>
    </row>
    <row r="22" spans="1:5" ht="31" x14ac:dyDescent="0.35">
      <c r="A22" s="47" t="s">
        <v>181</v>
      </c>
      <c r="B22" s="91">
        <v>1.5</v>
      </c>
      <c r="C22" s="49" t="s">
        <v>182</v>
      </c>
      <c r="D22" s="49">
        <v>1.5</v>
      </c>
      <c r="E22" s="80" t="s">
        <v>168</v>
      </c>
    </row>
    <row r="23" spans="1:5" ht="31" x14ac:dyDescent="0.35">
      <c r="A23" s="47" t="s">
        <v>185</v>
      </c>
      <c r="B23" s="91">
        <v>30</v>
      </c>
      <c r="C23" s="49" t="s">
        <v>183</v>
      </c>
      <c r="D23" s="49">
        <v>30</v>
      </c>
      <c r="E23" s="80" t="s">
        <v>139</v>
      </c>
    </row>
    <row r="24" spans="1:5" x14ac:dyDescent="0.35">
      <c r="A24" s="1" t="s">
        <v>239</v>
      </c>
      <c r="B24" s="30">
        <v>300</v>
      </c>
      <c r="C24" s="1" t="s">
        <v>241</v>
      </c>
      <c r="D24" s="1">
        <v>300</v>
      </c>
      <c r="E24" s="53" t="s">
        <v>240</v>
      </c>
    </row>
    <row r="25" spans="1:5" x14ac:dyDescent="0.35">
      <c r="E25" s="78"/>
    </row>
    <row r="26" spans="1:5" x14ac:dyDescent="0.35">
      <c r="A26" s="65" t="s">
        <v>208</v>
      </c>
      <c r="B26" s="82"/>
      <c r="C26" s="66"/>
      <c r="D26" s="66"/>
      <c r="E26" s="88"/>
    </row>
    <row r="27" spans="1:5" ht="31" x14ac:dyDescent="0.35">
      <c r="A27" s="47" t="s">
        <v>103</v>
      </c>
      <c r="B27" s="92">
        <v>500</v>
      </c>
      <c r="C27" s="49" t="s">
        <v>186</v>
      </c>
      <c r="D27" s="49">
        <v>500</v>
      </c>
      <c r="E27" s="78" t="s">
        <v>144</v>
      </c>
    </row>
    <row r="28" spans="1:5" ht="62" x14ac:dyDescent="0.35">
      <c r="A28" s="47" t="s">
        <v>104</v>
      </c>
      <c r="B28" s="92">
        <v>50</v>
      </c>
      <c r="C28" s="49" t="s">
        <v>187</v>
      </c>
      <c r="D28" s="49">
        <v>50</v>
      </c>
      <c r="E28" s="78" t="s">
        <v>144</v>
      </c>
    </row>
    <row r="29" spans="1:5" ht="31" x14ac:dyDescent="0.35">
      <c r="A29" s="47" t="s">
        <v>188</v>
      </c>
      <c r="B29" s="92">
        <v>1.5</v>
      </c>
      <c r="C29" s="49" t="s">
        <v>189</v>
      </c>
      <c r="D29" s="49">
        <v>1.5</v>
      </c>
      <c r="E29" s="78" t="s">
        <v>144</v>
      </c>
    </row>
    <row r="30" spans="1:5" ht="31" x14ac:dyDescent="0.35">
      <c r="A30" s="50" t="s">
        <v>105</v>
      </c>
      <c r="B30" s="92">
        <v>30000</v>
      </c>
      <c r="C30" s="49" t="s">
        <v>191</v>
      </c>
      <c r="D30" s="49">
        <v>30000</v>
      </c>
      <c r="E30" s="78" t="s">
        <v>144</v>
      </c>
    </row>
    <row r="31" spans="1:5" x14ac:dyDescent="0.35">
      <c r="A31" s="47" t="s">
        <v>91</v>
      </c>
      <c r="B31" s="92">
        <v>2.2000000000000002</v>
      </c>
      <c r="C31" s="49" t="s">
        <v>192</v>
      </c>
      <c r="D31" s="49" t="s">
        <v>144</v>
      </c>
      <c r="E31" s="78" t="s">
        <v>144</v>
      </c>
    </row>
    <row r="32" spans="1:5" ht="31" x14ac:dyDescent="0.35">
      <c r="A32" s="47" t="s">
        <v>194</v>
      </c>
      <c r="B32" s="91">
        <v>5</v>
      </c>
      <c r="C32" s="49" t="s">
        <v>193</v>
      </c>
      <c r="D32" s="49">
        <v>5</v>
      </c>
      <c r="E32" s="78" t="s">
        <v>144</v>
      </c>
    </row>
    <row r="33" spans="1:5" x14ac:dyDescent="0.35">
      <c r="E33" s="78"/>
    </row>
    <row r="34" spans="1:5" x14ac:dyDescent="0.35">
      <c r="A34" s="65" t="s">
        <v>128</v>
      </c>
      <c r="B34" s="84"/>
      <c r="C34" s="66"/>
      <c r="D34" s="66"/>
      <c r="E34" s="88"/>
    </row>
    <row r="35" spans="1:5" ht="31" x14ac:dyDescent="0.35">
      <c r="A35" s="47" t="s">
        <v>18</v>
      </c>
      <c r="B35" s="91">
        <v>10</v>
      </c>
      <c r="C35" s="49" t="s">
        <v>190</v>
      </c>
      <c r="D35" s="49">
        <v>10</v>
      </c>
      <c r="E35" s="87" t="s">
        <v>17</v>
      </c>
    </row>
    <row r="36" spans="1:5" ht="31" x14ac:dyDescent="0.35">
      <c r="A36" s="47" t="s">
        <v>31</v>
      </c>
      <c r="B36" s="91">
        <v>500</v>
      </c>
      <c r="C36" s="49" t="s">
        <v>205</v>
      </c>
      <c r="D36" s="49">
        <v>500</v>
      </c>
      <c r="E36" s="87" t="s">
        <v>17</v>
      </c>
    </row>
    <row r="37" spans="1:5" ht="31" x14ac:dyDescent="0.35">
      <c r="A37" s="47" t="s">
        <v>23</v>
      </c>
      <c r="B37" s="91">
        <v>6</v>
      </c>
      <c r="C37" s="49" t="s">
        <v>225</v>
      </c>
      <c r="D37" s="49">
        <v>6</v>
      </c>
      <c r="E37" s="87" t="s">
        <v>17</v>
      </c>
    </row>
    <row r="38" spans="1:5" ht="46" x14ac:dyDescent="0.35">
      <c r="A38" s="47" t="s">
        <v>29</v>
      </c>
      <c r="B38" s="91">
        <v>26</v>
      </c>
      <c r="C38" s="49" t="s">
        <v>183</v>
      </c>
      <c r="D38" s="49">
        <v>26</v>
      </c>
      <c r="E38" s="80" t="s">
        <v>28</v>
      </c>
    </row>
    <row r="39" spans="1:5" x14ac:dyDescent="0.35">
      <c r="A39" s="1" t="s">
        <v>239</v>
      </c>
      <c r="B39" s="30">
        <v>820</v>
      </c>
      <c r="C39" s="1" t="s">
        <v>242</v>
      </c>
      <c r="D39" s="1">
        <v>820</v>
      </c>
      <c r="E39" s="53" t="s">
        <v>240</v>
      </c>
    </row>
    <row r="40" spans="1:5" x14ac:dyDescent="0.35">
      <c r="C40" s="51"/>
      <c r="D40" s="51"/>
      <c r="E40" s="78"/>
    </row>
    <row r="41" spans="1:5" x14ac:dyDescent="0.35">
      <c r="A41" s="65" t="s">
        <v>228</v>
      </c>
      <c r="B41" s="84"/>
      <c r="C41" s="66"/>
      <c r="D41" s="66"/>
      <c r="E41" s="88"/>
    </row>
    <row r="42" spans="1:5" ht="62" x14ac:dyDescent="0.35">
      <c r="A42" s="47" t="s">
        <v>89</v>
      </c>
      <c r="B42" s="91">
        <v>105</v>
      </c>
      <c r="C42" s="49" t="s">
        <v>195</v>
      </c>
      <c r="E42" s="78" t="s">
        <v>144</v>
      </c>
    </row>
    <row r="43" spans="1:5" ht="31" x14ac:dyDescent="0.35">
      <c r="A43" s="50" t="s">
        <v>90</v>
      </c>
      <c r="B43" s="91">
        <v>550000</v>
      </c>
      <c r="C43" s="49" t="s">
        <v>196</v>
      </c>
      <c r="D43" s="49">
        <v>550000</v>
      </c>
      <c r="E43" s="87" t="s">
        <v>26</v>
      </c>
    </row>
    <row r="44" spans="1:5" ht="31" x14ac:dyDescent="0.35">
      <c r="A44" s="47" t="s">
        <v>91</v>
      </c>
      <c r="B44" s="91">
        <v>2.2000000000000002</v>
      </c>
      <c r="C44" s="49" t="s">
        <v>226</v>
      </c>
      <c r="D44" s="49" t="s">
        <v>144</v>
      </c>
      <c r="E44" s="78"/>
    </row>
    <row r="45" spans="1:5" ht="31" x14ac:dyDescent="0.35">
      <c r="A45" s="47" t="s">
        <v>25</v>
      </c>
      <c r="B45" s="91">
        <v>15</v>
      </c>
      <c r="C45" s="49" t="s">
        <v>227</v>
      </c>
      <c r="D45" s="49">
        <v>15</v>
      </c>
      <c r="E45" s="78"/>
    </row>
    <row r="46" spans="1:5" x14ac:dyDescent="0.35">
      <c r="E46" s="78"/>
    </row>
    <row r="47" spans="1:5" x14ac:dyDescent="0.35">
      <c r="A47" s="65" t="s">
        <v>3</v>
      </c>
      <c r="B47" s="84"/>
      <c r="C47" s="69"/>
      <c r="D47" s="69"/>
      <c r="E47" s="78"/>
    </row>
    <row r="48" spans="1:5" ht="23" x14ac:dyDescent="0.35">
      <c r="A48" s="47" t="s">
        <v>23</v>
      </c>
      <c r="B48" s="70">
        <v>9.6999999999999993</v>
      </c>
      <c r="C48" s="49" t="s">
        <v>251</v>
      </c>
      <c r="D48" s="49">
        <v>9.6999999999999993</v>
      </c>
      <c r="E48" s="90" t="s">
        <v>247</v>
      </c>
    </row>
    <row r="49" spans="1:5" x14ac:dyDescent="0.35">
      <c r="A49" s="47" t="s">
        <v>248</v>
      </c>
      <c r="B49" s="70">
        <v>1.7</v>
      </c>
      <c r="C49" s="50" t="s">
        <v>252</v>
      </c>
      <c r="D49" s="50">
        <v>1.7</v>
      </c>
      <c r="E49" s="90" t="s">
        <v>249</v>
      </c>
    </row>
    <row r="50" spans="1:5" x14ac:dyDescent="0.35">
      <c r="A50" s="47" t="s">
        <v>239</v>
      </c>
      <c r="B50" s="70">
        <v>220</v>
      </c>
      <c r="C50" s="50" t="s">
        <v>253</v>
      </c>
      <c r="D50" s="50">
        <v>220</v>
      </c>
      <c r="E50" s="90" t="s">
        <v>250</v>
      </c>
    </row>
    <row r="51" spans="1:5" x14ac:dyDescent="0.35">
      <c r="C51" s="52"/>
      <c r="D51" s="52"/>
    </row>
    <row r="52" spans="1:5" x14ac:dyDescent="0.35">
      <c r="A52" s="65" t="s">
        <v>145</v>
      </c>
      <c r="B52" s="84"/>
      <c r="C52" s="66"/>
      <c r="D52" s="66"/>
      <c r="E52" s="88"/>
    </row>
    <row r="53" spans="1:5" ht="31" x14ac:dyDescent="0.35">
      <c r="A53" s="47" t="s">
        <v>20</v>
      </c>
      <c r="B53" s="91">
        <v>10</v>
      </c>
      <c r="C53" s="45" t="s">
        <v>155</v>
      </c>
      <c r="D53" s="45">
        <v>10</v>
      </c>
      <c r="E53" s="78" t="s">
        <v>144</v>
      </c>
    </row>
    <row r="54" spans="1:5" ht="31" x14ac:dyDescent="0.35">
      <c r="A54" s="47" t="s">
        <v>19</v>
      </c>
      <c r="B54" s="91">
        <v>5</v>
      </c>
      <c r="C54" s="45" t="s">
        <v>156</v>
      </c>
      <c r="D54" s="45">
        <v>5</v>
      </c>
      <c r="E54" s="78" t="s">
        <v>144</v>
      </c>
    </row>
    <row r="55" spans="1:5" ht="31" x14ac:dyDescent="0.35">
      <c r="A55" s="47" t="s">
        <v>0</v>
      </c>
      <c r="B55" s="91">
        <v>65</v>
      </c>
      <c r="C55" s="54" t="s">
        <v>157</v>
      </c>
      <c r="D55" s="54">
        <v>65</v>
      </c>
      <c r="E55" s="78" t="s">
        <v>144</v>
      </c>
    </row>
    <row r="56" spans="1:5" ht="31" x14ac:dyDescent="0.35">
      <c r="A56" s="47" t="s">
        <v>1</v>
      </c>
      <c r="B56" s="91">
        <v>9</v>
      </c>
      <c r="C56" s="54" t="s">
        <v>158</v>
      </c>
      <c r="D56" s="54">
        <v>9</v>
      </c>
      <c r="E56" s="78" t="s">
        <v>144</v>
      </c>
    </row>
    <row r="57" spans="1:5" ht="31" x14ac:dyDescent="0.35">
      <c r="A57" s="47" t="s">
        <v>2</v>
      </c>
      <c r="B57" s="91">
        <v>11</v>
      </c>
      <c r="C57" s="54" t="s">
        <v>159</v>
      </c>
      <c r="D57" s="54">
        <v>11</v>
      </c>
      <c r="E57" s="78" t="s">
        <v>144</v>
      </c>
    </row>
    <row r="58" spans="1:5" x14ac:dyDescent="0.35">
      <c r="A58" s="47" t="s">
        <v>21</v>
      </c>
      <c r="B58" s="46" t="b">
        <f>IF(SUM(B53:B57) = 100, TRUE, FALSE)</f>
        <v>1</v>
      </c>
      <c r="C58" s="49" t="s">
        <v>254</v>
      </c>
      <c r="E58" s="78" t="s">
        <v>144</v>
      </c>
    </row>
    <row r="59" spans="1:5" x14ac:dyDescent="0.35">
      <c r="E59" s="78"/>
    </row>
    <row r="60" spans="1:5" x14ac:dyDescent="0.35">
      <c r="A60" s="65" t="s">
        <v>146</v>
      </c>
      <c r="B60" s="84"/>
      <c r="C60" s="69"/>
      <c r="D60" s="69"/>
      <c r="E60" s="89"/>
    </row>
    <row r="61" spans="1:5" ht="31" x14ac:dyDescent="0.35">
      <c r="A61" s="47" t="s">
        <v>20</v>
      </c>
      <c r="B61" s="93">
        <v>10</v>
      </c>
      <c r="C61" s="45" t="s">
        <v>147</v>
      </c>
      <c r="D61" s="45">
        <v>10</v>
      </c>
      <c r="E61" s="78" t="s">
        <v>144</v>
      </c>
    </row>
    <row r="62" spans="1:5" ht="31" x14ac:dyDescent="0.35">
      <c r="A62" s="47" t="s">
        <v>19</v>
      </c>
      <c r="B62" s="93">
        <v>5</v>
      </c>
      <c r="C62" s="45" t="s">
        <v>148</v>
      </c>
      <c r="D62" s="45">
        <v>5</v>
      </c>
      <c r="E62" s="78" t="s">
        <v>144</v>
      </c>
    </row>
    <row r="63" spans="1:5" ht="31" x14ac:dyDescent="0.35">
      <c r="A63" s="47" t="s">
        <v>0</v>
      </c>
      <c r="B63" s="93">
        <v>65</v>
      </c>
      <c r="C63" s="54" t="s">
        <v>149</v>
      </c>
      <c r="D63" s="54">
        <v>65</v>
      </c>
      <c r="E63" s="78" t="s">
        <v>144</v>
      </c>
    </row>
    <row r="64" spans="1:5" ht="31" x14ac:dyDescent="0.35">
      <c r="A64" s="47" t="s">
        <v>1</v>
      </c>
      <c r="B64" s="93">
        <v>9</v>
      </c>
      <c r="C64" s="54" t="s">
        <v>150</v>
      </c>
      <c r="D64" s="54">
        <v>9</v>
      </c>
      <c r="E64" s="78" t="s">
        <v>144</v>
      </c>
    </row>
    <row r="65" spans="1:5" ht="31" x14ac:dyDescent="0.35">
      <c r="A65" s="47" t="s">
        <v>2</v>
      </c>
      <c r="B65" s="93">
        <v>11</v>
      </c>
      <c r="C65" s="54" t="s">
        <v>151</v>
      </c>
      <c r="D65" s="54">
        <v>11</v>
      </c>
      <c r="E65" s="78" t="s">
        <v>144</v>
      </c>
    </row>
    <row r="66" spans="1:5" x14ac:dyDescent="0.35">
      <c r="A66" s="47" t="s">
        <v>21</v>
      </c>
      <c r="B66" s="85" t="b">
        <f>IF(SUM(B61:B65) = 100, TRUE, FALSE)</f>
        <v>1</v>
      </c>
      <c r="C66" s="49" t="s">
        <v>254</v>
      </c>
      <c r="E66" s="78" t="s">
        <v>144</v>
      </c>
    </row>
  </sheetData>
  <conditionalFormatting sqref="B66 B58">
    <cfRule type="cellIs" dxfId="3" priority="3" operator="equal">
      <formula>FALSE</formula>
    </cfRule>
    <cfRule type="containsText" dxfId="2" priority="4" operator="containsText" text="TRUE">
      <formula>NOT(ISERROR(SEARCH("TRUE",B58)))</formula>
    </cfRule>
  </conditionalFormatting>
  <conditionalFormatting sqref="B19">
    <cfRule type="cellIs" dxfId="1" priority="1" operator="equal">
      <formula>FALSE</formula>
    </cfRule>
    <cfRule type="containsText" dxfId="0" priority="2" operator="containsText" text="TRUE">
      <formula>NOT(ISERROR(SEARCH("TRUE",B19)))</formula>
    </cfRule>
  </conditionalFormatting>
  <dataValidations count="2">
    <dataValidation type="list" allowBlank="1" showInputMessage="1" showErrorMessage="1" sqref="B9" xr:uid="{8519F95D-4927-344D-A5CA-73AA861B7260}">
      <formula1>"Urban, Suburban, Rural"</formula1>
    </dataValidation>
    <dataValidation type="list" allowBlank="1" showInputMessage="1" showErrorMessage="1" sqref="B15" xr:uid="{C6BB0DE0-AA5D-7D42-8D19-73286AA19AFA}">
      <formula1>"Low, Medium, High"</formula1>
    </dataValidation>
  </dataValidations>
  <hyperlinks>
    <hyperlink ref="E35" r:id="rId1" xr:uid="{52EBA8D9-3547-444F-9C00-B5EBFA26B00B}"/>
    <hyperlink ref="E38" r:id="rId2" xr:uid="{1FD64C09-4BC9-0649-90FA-1E7295547555}"/>
    <hyperlink ref="E15" r:id="rId3" xr:uid="{05C89AC6-544E-3F47-A6CA-1E5F8A604DD7}"/>
    <hyperlink ref="E16" r:id="rId4" xr:uid="{B8252BD1-94B1-1E4D-ABBC-3808ECFDFFEF}"/>
    <hyperlink ref="E22" r:id="rId5" xr:uid="{36C82D01-202F-5048-A8AA-94BDC7621F50}"/>
    <hyperlink ref="E23" r:id="rId6" xr:uid="{2D628F94-8704-524C-885E-5FF329B996C7}"/>
    <hyperlink ref="E4" r:id="rId7" xr:uid="{3A3D91FD-84B6-754D-8920-4CD4D40E5CB0}"/>
    <hyperlink ref="E48" r:id="rId8" xr:uid="{B3168EB8-D52F-9040-90FE-7A930281789A}"/>
    <hyperlink ref="E49" r:id="rId9" xr:uid="{A871F3EE-E0CC-D743-A72A-BBA3E3556D11}"/>
    <hyperlink ref="E50" r:id="rId10" xr:uid="{04D54C1A-7A0B-A547-B4EF-5256DBF7498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A9059-FE14-9D41-AC1A-C40DED8C8071}">
  <sheetPr>
    <tabColor theme="9" tint="0.59999389629810485"/>
  </sheetPr>
  <dimension ref="B1:E56"/>
  <sheetViews>
    <sheetView showGridLines="0" zoomScale="89" workbookViewId="0">
      <selection activeCell="D33" sqref="D33"/>
    </sheetView>
  </sheetViews>
  <sheetFormatPr defaultColWidth="10.83203125" defaultRowHeight="15.5" x14ac:dyDescent="0.35"/>
  <cols>
    <col min="1" max="1" width="10.83203125" style="2"/>
    <col min="2" max="2" width="50.5" style="2" customWidth="1"/>
    <col min="3" max="3" width="42.5" style="9" bestFit="1" customWidth="1"/>
    <col min="4" max="4" width="113.1640625" style="9" customWidth="1"/>
    <col min="5" max="16384" width="10.83203125" style="2"/>
  </cols>
  <sheetData>
    <row r="1" spans="2:4" ht="16" thickBot="1" x14ac:dyDescent="0.4"/>
    <row r="2" spans="2:4" ht="16" thickBot="1" x14ac:dyDescent="0.4">
      <c r="B2" s="127" t="s">
        <v>216</v>
      </c>
      <c r="C2" s="128"/>
      <c r="D2" s="26" t="s">
        <v>262</v>
      </c>
    </row>
    <row r="3" spans="2:4" x14ac:dyDescent="0.35">
      <c r="B3" s="20" t="s">
        <v>213</v>
      </c>
      <c r="C3" s="18">
        <f>Model_TripData!C8/Inputs!B10</f>
        <v>247.95</v>
      </c>
      <c r="D3" s="27" t="s">
        <v>198</v>
      </c>
    </row>
    <row r="4" spans="2:4" x14ac:dyDescent="0.35">
      <c r="B4" s="21" t="s">
        <v>214</v>
      </c>
      <c r="C4" s="18">
        <f>Model_TripData!C13/Inputs!B10</f>
        <v>198.35999999999999</v>
      </c>
      <c r="D4" s="27" t="s">
        <v>199</v>
      </c>
    </row>
    <row r="5" spans="2:4" x14ac:dyDescent="0.35">
      <c r="B5" s="21" t="s">
        <v>215</v>
      </c>
      <c r="C5" s="18">
        <f>Model_TripData!C14/Inputs!B10</f>
        <v>49.589999999999996</v>
      </c>
      <c r="D5" s="27" t="s">
        <v>200</v>
      </c>
    </row>
    <row r="6" spans="2:4" ht="16" thickBot="1" x14ac:dyDescent="0.4">
      <c r="B6" s="22" t="s">
        <v>62</v>
      </c>
      <c r="C6" s="19">
        <f>Model_TripData!C15/Inputs!B10</f>
        <v>20</v>
      </c>
      <c r="D6" s="27" t="s">
        <v>80</v>
      </c>
    </row>
    <row r="21" spans="2:5" ht="16" thickBot="1" x14ac:dyDescent="0.4"/>
    <row r="22" spans="2:5" ht="16" thickBot="1" x14ac:dyDescent="0.4">
      <c r="B22" s="125" t="s">
        <v>79</v>
      </c>
      <c r="C22" s="126"/>
      <c r="D22" s="28" t="s">
        <v>262</v>
      </c>
    </row>
    <row r="23" spans="2:5" x14ac:dyDescent="0.35">
      <c r="B23" s="23" t="s">
        <v>257</v>
      </c>
      <c r="C23" s="16">
        <f>C4/C6</f>
        <v>9.9179999999999993</v>
      </c>
      <c r="D23" s="29" t="s">
        <v>82</v>
      </c>
    </row>
    <row r="24" spans="2:5" x14ac:dyDescent="0.35">
      <c r="B24" s="24" t="s">
        <v>65</v>
      </c>
      <c r="C24" s="16">
        <f>IF(((Model_KPIcoefficients!B2*C4) + (Model_KPIcoefficients!B3*C6*3600) + Model_KPIcoefficients!B4)/60 &lt; 0, 0, ((Model_KPIcoefficients!B2*C4) + (Model_KPIcoefficients!B3*C6*3600) + Model_KPIcoefficients!B4)/60)</f>
        <v>21.883272133333332</v>
      </c>
      <c r="D24" s="29" t="s">
        <v>84</v>
      </c>
    </row>
    <row r="25" spans="2:5" x14ac:dyDescent="0.35">
      <c r="B25" s="24" t="s">
        <v>67</v>
      </c>
      <c r="C25" s="16">
        <f>IF(((Model_KPIcoefficients!B5*C4) + (Model_KPIcoefficients!B6*C6*3600) + Model_KPIcoefficients!B7)/60 &lt; 0, 0, ((Model_KPIcoefficients!B5*C4) + (Model_KPIcoefficients!B6*C6*3600) + Model_KPIcoefficients!B7)/60)</f>
        <v>96.975347333333332</v>
      </c>
      <c r="D25" s="29" t="s">
        <v>85</v>
      </c>
    </row>
    <row r="26" spans="2:5" x14ac:dyDescent="0.35">
      <c r="B26" s="24" t="s">
        <v>77</v>
      </c>
      <c r="C26" s="16">
        <f>IF(((Model_KPIcoefficients!B8*C4) + (Model_KPIcoefficients!B9*C6*3600) + Model_KPIcoefficients!B10)*100 &gt; 100, 100, IF(((Model_KPIcoefficients!B8*C4) + (Model_KPIcoefficients!B9*C6*3600) + Model_KPIcoefficients!B10)*100 &lt; 0, 0, ((Model_KPIcoefficients!B8*C4) + (Model_KPIcoefficients!B9*C6*3600) + Model_KPIcoefficients!B10)*100))</f>
        <v>100</v>
      </c>
      <c r="D26" s="29" t="s">
        <v>86</v>
      </c>
    </row>
    <row r="27" spans="2:5" ht="16" thickBot="1" x14ac:dyDescent="0.4">
      <c r="B27" s="25" t="s">
        <v>258</v>
      </c>
      <c r="C27" s="17">
        <f>Inputs!B35</f>
        <v>10</v>
      </c>
      <c r="D27" s="29" t="s">
        <v>259</v>
      </c>
    </row>
    <row r="28" spans="2:5" x14ac:dyDescent="0.35">
      <c r="B28" s="14"/>
      <c r="C28" s="15"/>
      <c r="D28" s="15"/>
    </row>
    <row r="29" spans="2:5" x14ac:dyDescent="0.35">
      <c r="B29" s="14"/>
      <c r="C29" s="15"/>
      <c r="D29" s="15"/>
    </row>
    <row r="30" spans="2:5" x14ac:dyDescent="0.35">
      <c r="B30" s="14"/>
      <c r="C30" s="12"/>
      <c r="D30" s="12"/>
      <c r="E30" s="9"/>
    </row>
    <row r="31" spans="2:5" x14ac:dyDescent="0.35">
      <c r="B31" s="1"/>
      <c r="C31" s="13"/>
      <c r="D31" s="13"/>
    </row>
    <row r="43" spans="2:4" ht="16" thickBot="1" x14ac:dyDescent="0.4"/>
    <row r="44" spans="2:4" x14ac:dyDescent="0.35">
      <c r="B44" s="129" t="s">
        <v>78</v>
      </c>
      <c r="C44" s="130"/>
      <c r="D44" s="102" t="s">
        <v>262</v>
      </c>
    </row>
    <row r="45" spans="2:4" x14ac:dyDescent="0.35">
      <c r="B45" s="117" t="s">
        <v>106</v>
      </c>
      <c r="C45" s="114">
        <f>Model_CostBenefits!C20-Model_CostBenefits!B20</f>
        <v>120436.80000000075</v>
      </c>
      <c r="D45" s="100" t="s">
        <v>197</v>
      </c>
    </row>
    <row r="46" spans="2:4" x14ac:dyDescent="0.35">
      <c r="B46" s="101" t="s">
        <v>107</v>
      </c>
      <c r="C46" s="114">
        <f>-(Model_CostBenefits!C14-Model_CostBenefits!B14)</f>
        <v>50022</v>
      </c>
      <c r="D46" s="100" t="s">
        <v>87</v>
      </c>
    </row>
    <row r="47" spans="2:4" x14ac:dyDescent="0.35">
      <c r="B47" s="103" t="s">
        <v>271</v>
      </c>
      <c r="C47" s="114">
        <f>C45 + C46</f>
        <v>170458.80000000075</v>
      </c>
      <c r="D47" s="100" t="s">
        <v>261</v>
      </c>
    </row>
    <row r="48" spans="2:4" x14ac:dyDescent="0.35">
      <c r="B48" s="103" t="s">
        <v>272</v>
      </c>
      <c r="C48" s="114">
        <f>-(Model_CostBenefits!C15)</f>
        <v>-430524</v>
      </c>
      <c r="D48" s="100" t="s">
        <v>270</v>
      </c>
    </row>
    <row r="49" spans="2:4" x14ac:dyDescent="0.35">
      <c r="B49" s="118" t="s">
        <v>273</v>
      </c>
      <c r="C49" s="115">
        <f>C47+C48</f>
        <v>-260065.19999999925</v>
      </c>
      <c r="D49" s="100" t="s">
        <v>81</v>
      </c>
    </row>
    <row r="50" spans="2:4" ht="16" thickBot="1" x14ac:dyDescent="0.4">
      <c r="B50" s="119" t="s">
        <v>263</v>
      </c>
      <c r="C50" s="116">
        <f>Model_CostBenefits!C31</f>
        <v>26254.450588239706</v>
      </c>
      <c r="D50" s="100" t="s">
        <v>260</v>
      </c>
    </row>
    <row r="51" spans="2:4" ht="16" thickBot="1" x14ac:dyDescent="0.4"/>
    <row r="52" spans="2:4" x14ac:dyDescent="0.35">
      <c r="B52" s="131" t="s">
        <v>266</v>
      </c>
      <c r="C52" s="132"/>
      <c r="D52" s="110" t="s">
        <v>262</v>
      </c>
    </row>
    <row r="53" spans="2:4" x14ac:dyDescent="0.35">
      <c r="B53" s="106" t="s">
        <v>264</v>
      </c>
      <c r="C53" s="107">
        <f>C47/(-C48)</f>
        <v>0.39593332775873297</v>
      </c>
      <c r="D53" s="104" t="s">
        <v>269</v>
      </c>
    </row>
    <row r="54" spans="2:4" x14ac:dyDescent="0.35">
      <c r="B54" s="108" t="s">
        <v>265</v>
      </c>
      <c r="C54" s="109">
        <f>C50/(-C48)</f>
        <v>6.0982548216219554E-2</v>
      </c>
      <c r="D54" s="104" t="s">
        <v>268</v>
      </c>
    </row>
    <row r="55" spans="2:4" x14ac:dyDescent="0.35">
      <c r="B55" s="111" t="s">
        <v>217</v>
      </c>
      <c r="C55" s="109">
        <f>Model_CostBenefits!C24</f>
        <v>5.0347247428917123</v>
      </c>
      <c r="D55" s="105" t="s">
        <v>83</v>
      </c>
    </row>
    <row r="56" spans="2:4" ht="16" thickBot="1" x14ac:dyDescent="0.4">
      <c r="B56" s="112" t="s">
        <v>201</v>
      </c>
      <c r="C56" s="113">
        <f>Model_CostBenefits!C23</f>
        <v>8.5037935993247391</v>
      </c>
      <c r="D56" s="105" t="s">
        <v>83</v>
      </c>
    </row>
  </sheetData>
  <mergeCells count="4">
    <mergeCell ref="B22:C22"/>
    <mergeCell ref="B2:C2"/>
    <mergeCell ref="B44:C44"/>
    <mergeCell ref="B52:C5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ED89A-548D-7D49-92B6-BE455A870D84}">
  <sheetPr>
    <tabColor theme="8" tint="0.59999389629810485"/>
  </sheetPr>
  <dimension ref="A1:E62"/>
  <sheetViews>
    <sheetView workbookViewId="0">
      <selection activeCell="C14" sqref="C14"/>
    </sheetView>
  </sheetViews>
  <sheetFormatPr defaultColWidth="10.6640625" defaultRowHeight="15.5" x14ac:dyDescent="0.35"/>
  <cols>
    <col min="1" max="1" width="52" style="2" customWidth="1"/>
    <col min="2" max="2" width="20" style="2" bestFit="1" customWidth="1"/>
    <col min="3" max="3" width="18.33203125" style="5" bestFit="1" customWidth="1"/>
  </cols>
  <sheetData>
    <row r="1" spans="1:5" x14ac:dyDescent="0.35">
      <c r="B1" s="68" t="s">
        <v>223</v>
      </c>
      <c r="C1" s="86" t="s">
        <v>224</v>
      </c>
    </row>
    <row r="2" spans="1:5" x14ac:dyDescent="0.35">
      <c r="A2" s="33" t="s">
        <v>27</v>
      </c>
      <c r="B2" s="32"/>
      <c r="C2" s="72"/>
    </row>
    <row r="3" spans="1:5" x14ac:dyDescent="0.35">
      <c r="A3" s="2" t="s">
        <v>10</v>
      </c>
      <c r="B3" s="38">
        <f>(Inputs!B3*Inputs!B7)*30</f>
        <v>9000000</v>
      </c>
      <c r="C3" s="94">
        <f>C4+C8</f>
        <v>9000992</v>
      </c>
    </row>
    <row r="4" spans="1:5" x14ac:dyDescent="0.35">
      <c r="A4" s="2" t="s">
        <v>219</v>
      </c>
      <c r="B4" s="38">
        <f>ROUND(B3-(B8*((100 - Inputs!B16)/100)),0)</f>
        <v>9000000</v>
      </c>
      <c r="C4" s="38">
        <f>ROUND(B3-(C8*((100 - Inputs!B16)/100)),0)</f>
        <v>8996033</v>
      </c>
      <c r="E4" s="10"/>
    </row>
    <row r="5" spans="1:5" x14ac:dyDescent="0.35">
      <c r="A5" s="1" t="s">
        <v>212</v>
      </c>
      <c r="B5" s="38"/>
      <c r="C5" s="38">
        <f>IF(Inputs!B15 = "Low", 0.05, IF(Inputs!B15 = "Medium", 0.3, IF(Inputs!B15 = "High", 1, NA)))</f>
        <v>0.3</v>
      </c>
    </row>
    <row r="7" spans="1:5" x14ac:dyDescent="0.35">
      <c r="A7" s="33" t="s">
        <v>218</v>
      </c>
      <c r="B7" s="32"/>
      <c r="C7" s="72"/>
    </row>
    <row r="8" spans="1:5" x14ac:dyDescent="0.35">
      <c r="A8" s="35" t="s">
        <v>220</v>
      </c>
      <c r="B8" s="38">
        <v>0</v>
      </c>
      <c r="C8" s="94">
        <f>ROUND(Model_TripData!C9*(Model_TripData!C10/100)*(Model_TripData!C11/100)*(Model_TripData!C12/100),0)</f>
        <v>4959</v>
      </c>
    </row>
    <row r="9" spans="1:5" x14ac:dyDescent="0.35">
      <c r="A9" s="4" t="s">
        <v>221</v>
      </c>
      <c r="B9" s="38"/>
      <c r="C9" s="38">
        <f>(Model_TripData!B3*Model_TripData!C5)/100</f>
        <v>27000</v>
      </c>
    </row>
    <row r="10" spans="1:5" x14ac:dyDescent="0.35">
      <c r="A10" s="4" t="s">
        <v>47</v>
      </c>
      <c r="B10" s="38"/>
      <c r="C10" s="38">
        <f>IF(Inputs!B9 = "Urban", Model_TripDistanceDistributions!N8,IF(Inputs!B9 = "Suburban", Model_TripDistanceDistributions!N9, IF(Inputs!B9 = "Rural", Model_TripDistanceDistributions!N10, NA)))</f>
        <v>47.5</v>
      </c>
    </row>
    <row r="11" spans="1:5" x14ac:dyDescent="0.35">
      <c r="A11" s="4" t="s">
        <v>48</v>
      </c>
      <c r="B11" s="38"/>
      <c r="C11" s="95">
        <f>(Inputs!B10/30)*100</f>
        <v>66.666666666666657</v>
      </c>
    </row>
    <row r="12" spans="1:5" x14ac:dyDescent="0.35">
      <c r="A12" s="4" t="s">
        <v>49</v>
      </c>
      <c r="B12" s="38"/>
      <c r="C12" s="38">
        <f xml:space="preserve"> (INDEX(Model_TripTimeDistributions!$E$3:$E$26,MATCH(TRUE,INDEX(Model_TripTimeDistributions!$A$3:$A$26&gt;(Inputs!B12 - 1),0),))) - (INDEX(Model_TripTimeDistributions!$E$3:$E$26,MATCH(TRUE,INDEX(Model_TripTimeDistributions!$A$3:$A$26&gt;(Inputs!B11-1),0),)))</f>
        <v>58</v>
      </c>
    </row>
    <row r="13" spans="1:5" x14ac:dyDescent="0.35">
      <c r="A13" s="2" t="s">
        <v>7</v>
      </c>
      <c r="B13" s="38">
        <v>0</v>
      </c>
      <c r="C13" s="94">
        <f>(C8*Inputs!B17)/100</f>
        <v>3967.2</v>
      </c>
    </row>
    <row r="14" spans="1:5" x14ac:dyDescent="0.35">
      <c r="A14" s="2" t="s">
        <v>8</v>
      </c>
      <c r="B14" s="38">
        <v>0</v>
      </c>
      <c r="C14" s="94">
        <f>(C8*Inputs!B18)/100</f>
        <v>991.8</v>
      </c>
    </row>
    <row r="15" spans="1:5" x14ac:dyDescent="0.35">
      <c r="A15" s="2" t="s">
        <v>9</v>
      </c>
      <c r="B15" s="38">
        <v>0</v>
      </c>
      <c r="C15" s="94">
        <f>Inputs!B20*Inputs!B21*Inputs!B10</f>
        <v>400</v>
      </c>
    </row>
    <row r="16" spans="1:5" x14ac:dyDescent="0.35">
      <c r="A16" s="2" t="s">
        <v>222</v>
      </c>
      <c r="B16" s="38">
        <v>0</v>
      </c>
      <c r="C16" s="94">
        <f>C17*Inputs!B22</f>
        <v>74385</v>
      </c>
    </row>
    <row r="17" spans="1:4" x14ac:dyDescent="0.35">
      <c r="A17" s="2" t="s">
        <v>36</v>
      </c>
      <c r="B17" s="38">
        <f>B8*Model_TripDistanceDistributions!N5</f>
        <v>0</v>
      </c>
      <c r="C17" s="38">
        <f>C8*Model_TripDistanceDistributions!N5</f>
        <v>49590</v>
      </c>
    </row>
    <row r="19" spans="1:4" x14ac:dyDescent="0.35">
      <c r="A19" s="42" t="s">
        <v>88</v>
      </c>
      <c r="B19" s="32"/>
      <c r="C19" s="72"/>
    </row>
    <row r="20" spans="1:4" x14ac:dyDescent="0.35">
      <c r="A20" s="2" t="s">
        <v>13</v>
      </c>
      <c r="B20" s="38">
        <f>ROUND((B4*Inputs!B53)/100,0)</f>
        <v>900000</v>
      </c>
      <c r="C20" s="38">
        <f>ROUND((C4*Inputs!B61)/100,0)</f>
        <v>899603</v>
      </c>
    </row>
    <row r="21" spans="1:4" x14ac:dyDescent="0.35">
      <c r="A21" s="2" t="s">
        <v>12</v>
      </c>
      <c r="B21" s="38">
        <f>ROUNDUP(B20/(Inputs!B36*30),0)</f>
        <v>60</v>
      </c>
      <c r="C21" s="38">
        <f>ROUNDUP(C20/(Inputs!B36*30),0)</f>
        <v>60</v>
      </c>
    </row>
    <row r="22" spans="1:4" x14ac:dyDescent="0.35">
      <c r="A22" s="2" t="s">
        <v>22</v>
      </c>
      <c r="B22" s="38">
        <f>B20/Inputs!B35</f>
        <v>90000</v>
      </c>
      <c r="C22" s="38">
        <f>C20/Inputs!B35</f>
        <v>89960.3</v>
      </c>
    </row>
    <row r="23" spans="1:4" x14ac:dyDescent="0.35">
      <c r="A23" s="2" t="s">
        <v>30</v>
      </c>
      <c r="B23" s="38">
        <f>(B20*Inputs!B37)/((Inputs!B37/Inputs!B38)*Inputs!B35)</f>
        <v>2339999.9999999995</v>
      </c>
      <c r="C23" s="38">
        <f>(C20*Inputs!B37)/((Inputs!B37/Inputs!B38)*Inputs!B35)</f>
        <v>2338967.7999999998</v>
      </c>
    </row>
    <row r="24" spans="1:4" x14ac:dyDescent="0.35">
      <c r="A24" s="2" t="s">
        <v>36</v>
      </c>
      <c r="B24" s="38">
        <f>B20*Inputs!B37</f>
        <v>5400000</v>
      </c>
      <c r="C24" s="38">
        <f>C20*Inputs!B37</f>
        <v>5397618</v>
      </c>
    </row>
    <row r="26" spans="1:4" x14ac:dyDescent="0.35">
      <c r="A26" s="33" t="s">
        <v>3</v>
      </c>
      <c r="B26" s="32"/>
      <c r="C26" s="72"/>
    </row>
    <row r="27" spans="1:4" x14ac:dyDescent="0.35">
      <c r="A27" s="4" t="s">
        <v>14</v>
      </c>
      <c r="B27" s="96">
        <f>(Inputs!B55*B4)/100</f>
        <v>5850000</v>
      </c>
      <c r="C27" s="96">
        <f>(Inputs!B63*C4)/100</f>
        <v>5847421.4500000002</v>
      </c>
    </row>
    <row r="28" spans="1:4" x14ac:dyDescent="0.35">
      <c r="A28" s="2" t="s">
        <v>246</v>
      </c>
      <c r="B28" s="38">
        <f>(Inputs!B48*B27)/Inputs!B49</f>
        <v>33379411.764705878</v>
      </c>
      <c r="C28" s="94">
        <f>(Inputs!B48*C27)/Inputs!B49</f>
        <v>33364698.861764707</v>
      </c>
      <c r="D28" s="6"/>
    </row>
    <row r="29" spans="1:4" x14ac:dyDescent="0.35">
      <c r="A29" s="2" t="s">
        <v>36</v>
      </c>
      <c r="B29" s="38">
        <f>B27*Inputs!B48</f>
        <v>56744999.999999993</v>
      </c>
      <c r="C29" s="38">
        <f>C27*Inputs!B48</f>
        <v>56719988.064999998</v>
      </c>
    </row>
    <row r="31" spans="1:4" x14ac:dyDescent="0.35">
      <c r="A31" s="33" t="s">
        <v>4</v>
      </c>
      <c r="B31" s="32"/>
      <c r="C31" s="72"/>
    </row>
    <row r="32" spans="1:4" x14ac:dyDescent="0.35">
      <c r="A32" s="4" t="s">
        <v>15</v>
      </c>
      <c r="B32" s="38">
        <f>(Inputs!B56*B4)/100</f>
        <v>810000</v>
      </c>
      <c r="C32" s="94">
        <f>(Inputs!B64*C4)/100</f>
        <v>809642.97</v>
      </c>
    </row>
    <row r="34" spans="1:3" x14ac:dyDescent="0.35">
      <c r="A34" s="33" t="s">
        <v>5</v>
      </c>
      <c r="B34" s="32"/>
      <c r="C34" s="72"/>
    </row>
    <row r="35" spans="1:3" x14ac:dyDescent="0.35">
      <c r="A35" s="4" t="s">
        <v>16</v>
      </c>
      <c r="B35" s="38">
        <f>(Inputs!B57*B4)/100</f>
        <v>990000</v>
      </c>
      <c r="C35" s="94">
        <f>(Inputs!B65*C4)/100</f>
        <v>989563.63</v>
      </c>
    </row>
    <row r="53" spans="1:1" x14ac:dyDescent="0.35">
      <c r="A53" s="11"/>
    </row>
    <row r="62" spans="1:1" x14ac:dyDescent="0.35">
      <c r="A62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729D1-4F24-A64C-A701-9B0EB3D89E1C}">
  <sheetPr>
    <tabColor theme="8" tint="0.59999389629810485"/>
  </sheetPr>
  <dimension ref="A1:C31"/>
  <sheetViews>
    <sheetView workbookViewId="0">
      <selection activeCell="N34" sqref="N34"/>
    </sheetView>
  </sheetViews>
  <sheetFormatPr defaultColWidth="10.6640625" defaultRowHeight="15.5" x14ac:dyDescent="0.35"/>
  <cols>
    <col min="1" max="1" width="55.1640625" style="5" bestFit="1" customWidth="1"/>
    <col min="2" max="2" width="20" style="5" bestFit="1" customWidth="1"/>
    <col min="3" max="3" width="18.33203125" style="5" bestFit="1" customWidth="1"/>
  </cols>
  <sheetData>
    <row r="1" spans="1:3" x14ac:dyDescent="0.35">
      <c r="A1" s="7"/>
      <c r="B1" s="68" t="s">
        <v>223</v>
      </c>
      <c r="C1" s="86" t="s">
        <v>224</v>
      </c>
    </row>
    <row r="2" spans="1:3" x14ac:dyDescent="0.35">
      <c r="A2" s="42" t="s">
        <v>88</v>
      </c>
      <c r="B2" s="72"/>
      <c r="C2" s="72"/>
    </row>
    <row r="3" spans="1:3" x14ac:dyDescent="0.35">
      <c r="A3" s="5" t="s">
        <v>92</v>
      </c>
      <c r="B3" s="97">
        <f>Model_TripData!B22*Inputs!B42</f>
        <v>9450000</v>
      </c>
      <c r="C3" s="97">
        <f>Model_TripData!C22*Inputs!B42</f>
        <v>9445831.5</v>
      </c>
    </row>
    <row r="4" spans="1:3" x14ac:dyDescent="0.35">
      <c r="A4" s="5" t="s">
        <v>93</v>
      </c>
      <c r="B4" s="94">
        <f>Model_TripData!B21*(Inputs!B43/Inputs!B45)</f>
        <v>2200000</v>
      </c>
      <c r="C4" s="94">
        <f>Model_TripData!C21*(Inputs!B43/Inputs!B45)</f>
        <v>2200000</v>
      </c>
    </row>
    <row r="5" spans="1:3" x14ac:dyDescent="0.35">
      <c r="A5" s="2" t="s">
        <v>94</v>
      </c>
      <c r="B5" s="38">
        <f>Model_TripData!B20*Inputs!B44*12</f>
        <v>23760000.000000004</v>
      </c>
      <c r="C5" s="38">
        <f>Model_TripData!C20*Inputs!B44*12</f>
        <v>23749519.200000003</v>
      </c>
    </row>
    <row r="6" spans="1:3" x14ac:dyDescent="0.35">
      <c r="A6" s="8"/>
      <c r="B6" s="8"/>
    </row>
    <row r="7" spans="1:3" x14ac:dyDescent="0.35">
      <c r="A7" s="33" t="s">
        <v>218</v>
      </c>
      <c r="B7" s="74"/>
      <c r="C7" s="72"/>
    </row>
    <row r="8" spans="1:3" x14ac:dyDescent="0.35">
      <c r="A8" s="5" t="s">
        <v>95</v>
      </c>
      <c r="B8" s="94">
        <v>0</v>
      </c>
      <c r="C8" s="94">
        <f>Model_TripData!C15*Inputs!B28</f>
        <v>20000</v>
      </c>
    </row>
    <row r="9" spans="1:3" x14ac:dyDescent="0.35">
      <c r="A9" s="5" t="s">
        <v>96</v>
      </c>
      <c r="B9" s="94">
        <v>0</v>
      </c>
      <c r="C9" s="94">
        <f>Inputs!B29*Model_TripDistanceDistributions!N5*Model_TripData!C14</f>
        <v>14877</v>
      </c>
    </row>
    <row r="10" spans="1:3" x14ac:dyDescent="0.35">
      <c r="A10" s="5" t="s">
        <v>97</v>
      </c>
      <c r="B10" s="94">
        <v>0</v>
      </c>
      <c r="C10" s="94">
        <f>Inputs!B20*(Inputs!B30/Inputs!B32)</f>
        <v>12000</v>
      </c>
    </row>
    <row r="11" spans="1:3" x14ac:dyDescent="0.35">
      <c r="A11" s="2" t="s">
        <v>202</v>
      </c>
      <c r="B11" s="94">
        <v>0</v>
      </c>
      <c r="C11" s="94">
        <f>Model_TripData!C8*Inputs!B31*12</f>
        <v>130917.6</v>
      </c>
    </row>
    <row r="13" spans="1:3" x14ac:dyDescent="0.35">
      <c r="A13" s="73" t="s">
        <v>11</v>
      </c>
      <c r="B13" s="74"/>
      <c r="C13" s="72"/>
    </row>
    <row r="14" spans="1:3" x14ac:dyDescent="0.35">
      <c r="A14" s="5" t="s">
        <v>98</v>
      </c>
      <c r="B14" s="98">
        <f>(B3*12)+B4</f>
        <v>115600000</v>
      </c>
      <c r="C14" s="98">
        <f>(C3*12)+C4</f>
        <v>115549978</v>
      </c>
    </row>
    <row r="15" spans="1:3" x14ac:dyDescent="0.35">
      <c r="A15" s="5" t="s">
        <v>203</v>
      </c>
      <c r="B15" s="98">
        <f>((B8+B9)*12)+B10</f>
        <v>0</v>
      </c>
      <c r="C15" s="98">
        <f>((C8+C9)*12)+C10</f>
        <v>430524</v>
      </c>
    </row>
    <row r="16" spans="1:3" x14ac:dyDescent="0.35">
      <c r="A16" s="5" t="s">
        <v>99</v>
      </c>
      <c r="B16" s="94">
        <f>B10+B4</f>
        <v>2200000</v>
      </c>
      <c r="C16" s="94">
        <f>C10+C4</f>
        <v>2212000</v>
      </c>
    </row>
    <row r="17" spans="1:3" x14ac:dyDescent="0.35">
      <c r="A17" s="5" t="s">
        <v>100</v>
      </c>
      <c r="B17" s="94">
        <f>((B8+B9+B3)*12)</f>
        <v>113400000</v>
      </c>
      <c r="C17" s="94">
        <f>((C8+C9+C3)*12)</f>
        <v>113768502</v>
      </c>
    </row>
    <row r="19" spans="1:3" x14ac:dyDescent="0.35">
      <c r="A19" s="73" t="s">
        <v>32</v>
      </c>
      <c r="B19" s="74"/>
      <c r="C19" s="72"/>
    </row>
    <row r="20" spans="1:3" x14ac:dyDescent="0.35">
      <c r="A20" s="5" t="s">
        <v>101</v>
      </c>
      <c r="B20" s="94">
        <f>B5+B11</f>
        <v>23760000.000000004</v>
      </c>
      <c r="C20" s="94">
        <f>C5+C11</f>
        <v>23880436.800000004</v>
      </c>
    </row>
    <row r="22" spans="1:3" x14ac:dyDescent="0.35">
      <c r="A22" s="73" t="s">
        <v>61</v>
      </c>
      <c r="B22" s="74"/>
      <c r="C22" s="72"/>
    </row>
    <row r="23" spans="1:3" x14ac:dyDescent="0.35">
      <c r="A23" s="2" t="s">
        <v>102</v>
      </c>
      <c r="B23" s="38">
        <f>(Model_CostBenefits!B14-Model_CostBenefits!B5)/(Model_TripData!B20*12)</f>
        <v>8.5037037037037031</v>
      </c>
      <c r="C23" s="38">
        <f>(Model_CostBenefits!C14-Model_CostBenefits!C5)/(Model_TripData!C20*12)</f>
        <v>8.5037935993247391</v>
      </c>
    </row>
    <row r="24" spans="1:3" x14ac:dyDescent="0.35">
      <c r="A24" s="2" t="s">
        <v>204</v>
      </c>
      <c r="B24" s="38">
        <v>0</v>
      </c>
      <c r="C24" s="38">
        <f>(Model_CostBenefits!C15-Model_CostBenefits!C11)/(Model_TripData!C8*12)</f>
        <v>5.0347247428917123</v>
      </c>
    </row>
    <row r="26" spans="1:3" x14ac:dyDescent="0.35">
      <c r="A26" s="73" t="s">
        <v>243</v>
      </c>
      <c r="B26" s="68" t="s">
        <v>223</v>
      </c>
      <c r="C26" s="86" t="s">
        <v>224</v>
      </c>
    </row>
    <row r="27" spans="1:3" x14ac:dyDescent="0.35">
      <c r="A27" s="4" t="s">
        <v>229</v>
      </c>
      <c r="B27" s="38">
        <f>(Model_TripData!B23*Inputs!B39*12)/1000000</f>
        <v>23025.599999999991</v>
      </c>
      <c r="C27" s="99">
        <f>(Model_TripData!C23*Inputs!B39*12)/1000000</f>
        <v>23015.443151999996</v>
      </c>
    </row>
    <row r="28" spans="1:3" x14ac:dyDescent="0.35">
      <c r="A28" s="4" t="s">
        <v>244</v>
      </c>
      <c r="B28" s="99">
        <v>0</v>
      </c>
      <c r="C28" s="97">
        <f>(Model_TripData!C16*Inputs!B24*12)/1000000</f>
        <v>267.786</v>
      </c>
    </row>
    <row r="29" spans="1:3" x14ac:dyDescent="0.35">
      <c r="A29" s="4" t="s">
        <v>230</v>
      </c>
      <c r="B29" s="99">
        <f>(Model_TripData!B28*Inputs!B50*12)/1000000</f>
        <v>88121.64705882351</v>
      </c>
      <c r="C29" s="99">
        <f>(Model_TripData!C28*Inputs!B50*12)/1000000</f>
        <v>88082.804995058832</v>
      </c>
    </row>
    <row r="30" spans="1:3" x14ac:dyDescent="0.35">
      <c r="A30" s="4" t="s">
        <v>231</v>
      </c>
      <c r="B30" s="99">
        <v>0</v>
      </c>
      <c r="C30" s="94">
        <f>(C27+C28+C29)- (B27+B28+B29)</f>
        <v>218.78708823533088</v>
      </c>
    </row>
    <row r="31" spans="1:3" x14ac:dyDescent="0.35">
      <c r="A31" s="4" t="s">
        <v>232</v>
      </c>
      <c r="B31" s="99">
        <v>0</v>
      </c>
      <c r="C31" s="94">
        <f>((C27+C28+C29)- (B27+B28+B29))*Inputs!B4</f>
        <v>26254.450588239706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DD31D-163E-E746-9B74-CFF6ADC9B960}">
  <sheetPr>
    <tabColor theme="8" tint="0.59999389629810485"/>
  </sheetPr>
  <dimension ref="A1:R36"/>
  <sheetViews>
    <sheetView workbookViewId="0">
      <selection activeCell="K22" sqref="K22"/>
    </sheetView>
  </sheetViews>
  <sheetFormatPr defaultColWidth="10.6640625" defaultRowHeight="15.5" x14ac:dyDescent="0.35"/>
  <cols>
    <col min="1" max="11" width="12.1640625" style="2" customWidth="1"/>
    <col min="12" max="12" width="15.83203125" style="1" customWidth="1"/>
    <col min="13" max="13" width="51.6640625" style="2" customWidth="1"/>
    <col min="14" max="14" width="10.83203125" style="2"/>
  </cols>
  <sheetData>
    <row r="1" spans="1:18" x14ac:dyDescent="0.35">
      <c r="A1" s="133" t="s">
        <v>58</v>
      </c>
      <c r="B1" s="133"/>
      <c r="C1" s="133"/>
      <c r="E1" s="133" t="s">
        <v>59</v>
      </c>
      <c r="F1" s="133"/>
      <c r="G1" s="133"/>
      <c r="I1" s="133" t="s">
        <v>60</v>
      </c>
      <c r="J1" s="133"/>
      <c r="K1" s="133"/>
      <c r="M1" s="42" t="s">
        <v>50</v>
      </c>
      <c r="N1" s="42"/>
      <c r="P1" s="133" t="s">
        <v>255</v>
      </c>
      <c r="Q1" s="133"/>
      <c r="R1" s="133"/>
    </row>
    <row r="2" spans="1:18" x14ac:dyDescent="0.35">
      <c r="A2" s="39" t="s">
        <v>39</v>
      </c>
      <c r="B2" s="40" t="s">
        <v>40</v>
      </c>
      <c r="C2" s="41" t="s">
        <v>46</v>
      </c>
      <c r="E2" s="39" t="s">
        <v>39</v>
      </c>
      <c r="F2" s="40" t="s">
        <v>40</v>
      </c>
      <c r="G2" s="41" t="s">
        <v>46</v>
      </c>
      <c r="I2" s="39" t="s">
        <v>39</v>
      </c>
      <c r="J2" s="40" t="s">
        <v>40</v>
      </c>
      <c r="K2" s="41" t="s">
        <v>46</v>
      </c>
      <c r="L2" s="14"/>
      <c r="M2" s="2" t="s">
        <v>52</v>
      </c>
      <c r="N2" s="38">
        <v>5</v>
      </c>
      <c r="P2" s="39" t="s">
        <v>39</v>
      </c>
      <c r="Q2" s="40" t="s">
        <v>40</v>
      </c>
      <c r="R2" s="41" t="s">
        <v>46</v>
      </c>
    </row>
    <row r="3" spans="1:18" x14ac:dyDescent="0.35">
      <c r="A3" s="34">
        <v>0</v>
      </c>
      <c r="B3" s="38">
        <v>0</v>
      </c>
      <c r="C3" s="38">
        <f>B3</f>
        <v>0</v>
      </c>
      <c r="E3" s="34">
        <v>0</v>
      </c>
      <c r="F3" s="38">
        <v>0</v>
      </c>
      <c r="G3" s="38">
        <f>F3</f>
        <v>0</v>
      </c>
      <c r="I3" s="34">
        <v>0</v>
      </c>
      <c r="J3" s="38">
        <v>0</v>
      </c>
      <c r="K3" s="38">
        <f>J3</f>
        <v>0</v>
      </c>
      <c r="M3" s="2" t="s">
        <v>53</v>
      </c>
      <c r="N3" s="38">
        <v>7</v>
      </c>
      <c r="P3" s="34">
        <v>0</v>
      </c>
      <c r="Q3" s="38">
        <f>IF(Inputs!$B$9 = "Urban", B3, IF(Inputs!$B$9 = "Suburban", F3, IF(Inputs!$B$9 = "Rural",J3,"NA")))</f>
        <v>0</v>
      </c>
      <c r="R3" s="38">
        <f>Q3</f>
        <v>0</v>
      </c>
    </row>
    <row r="4" spans="1:18" x14ac:dyDescent="0.35">
      <c r="A4" s="34">
        <v>1</v>
      </c>
      <c r="B4" s="38">
        <v>11</v>
      </c>
      <c r="C4" s="38">
        <f t="shared" ref="C4:C24" si="0">B4+C3</f>
        <v>11</v>
      </c>
      <c r="E4" s="34">
        <v>1</v>
      </c>
      <c r="F4" s="38">
        <v>5</v>
      </c>
      <c r="G4" s="38">
        <f>F4+G3</f>
        <v>5</v>
      </c>
      <c r="I4" s="34">
        <v>1</v>
      </c>
      <c r="J4" s="38">
        <v>2</v>
      </c>
      <c r="K4" s="38">
        <f>J4+K3</f>
        <v>2</v>
      </c>
      <c r="M4" s="2" t="s">
        <v>54</v>
      </c>
      <c r="N4" s="38">
        <v>10</v>
      </c>
      <c r="P4" s="34">
        <v>1</v>
      </c>
      <c r="Q4" s="38">
        <f>IF(Inputs!$B$9 = "Urban", B4, IF(Inputs!$B$9 = "Suburban", F4, IF(Inputs!$B$9 = "Rural",J4,"NA")))</f>
        <v>2</v>
      </c>
      <c r="R4" s="38">
        <f>Q4+R3</f>
        <v>2</v>
      </c>
    </row>
    <row r="5" spans="1:18" x14ac:dyDescent="0.35">
      <c r="A5" s="34">
        <v>2</v>
      </c>
      <c r="B5" s="38">
        <v>15</v>
      </c>
      <c r="C5" s="38">
        <f t="shared" si="0"/>
        <v>26</v>
      </c>
      <c r="E5" s="34">
        <v>2</v>
      </c>
      <c r="F5" s="38">
        <v>7</v>
      </c>
      <c r="G5" s="38">
        <f t="shared" ref="G5:G24" si="1">F5+G4</f>
        <v>12</v>
      </c>
      <c r="I5" s="34">
        <v>2</v>
      </c>
      <c r="J5" s="38">
        <v>4</v>
      </c>
      <c r="K5" s="38">
        <f t="shared" ref="K5:K24" si="2">J5+K4</f>
        <v>6</v>
      </c>
      <c r="M5" s="71" t="s">
        <v>51</v>
      </c>
      <c r="N5" s="38">
        <f>IF(Inputs!B9 = "Urban", Model_TripDistanceDistributions!N2, IF(Inputs!B9 = "Suburban", N3, IF(Inputs!B9 = "Rural",N4,"NA")))</f>
        <v>10</v>
      </c>
      <c r="P5" s="34">
        <v>2</v>
      </c>
      <c r="Q5" s="38">
        <f>IF(Inputs!$B$9 = "Urban", B5, IF(Inputs!$B$9 = "Suburban", F5, IF(Inputs!$B$9 = "Rural",J5,"NA")))</f>
        <v>4</v>
      </c>
      <c r="R5" s="38">
        <f t="shared" ref="R5:R24" si="3">Q5+R4</f>
        <v>6</v>
      </c>
    </row>
    <row r="6" spans="1:18" x14ac:dyDescent="0.35">
      <c r="A6" s="34">
        <v>3</v>
      </c>
      <c r="B6" s="38">
        <v>14</v>
      </c>
      <c r="C6" s="38">
        <f t="shared" si="0"/>
        <v>40</v>
      </c>
      <c r="E6" s="34">
        <v>3</v>
      </c>
      <c r="F6" s="38">
        <v>9</v>
      </c>
      <c r="G6" s="38">
        <f t="shared" si="1"/>
        <v>21</v>
      </c>
      <c r="I6" s="34">
        <v>3</v>
      </c>
      <c r="J6" s="38">
        <v>6</v>
      </c>
      <c r="K6" s="38">
        <f t="shared" si="2"/>
        <v>12</v>
      </c>
      <c r="P6" s="34">
        <v>3</v>
      </c>
      <c r="Q6" s="38">
        <f>IF(Inputs!$B$9 = "Urban", B6, IF(Inputs!$B$9 = "Suburban", F6, IF(Inputs!$B$9 = "Rural",J6,"NA")))</f>
        <v>6</v>
      </c>
      <c r="R6" s="38">
        <f t="shared" si="3"/>
        <v>12</v>
      </c>
    </row>
    <row r="7" spans="1:18" x14ac:dyDescent="0.35">
      <c r="A7" s="34">
        <v>4</v>
      </c>
      <c r="B7" s="38">
        <v>11</v>
      </c>
      <c r="C7" s="38">
        <f t="shared" si="0"/>
        <v>51</v>
      </c>
      <c r="E7" s="34">
        <v>4</v>
      </c>
      <c r="F7" s="38">
        <v>10</v>
      </c>
      <c r="G7" s="38">
        <f t="shared" si="1"/>
        <v>31</v>
      </c>
      <c r="I7" s="34">
        <v>4</v>
      </c>
      <c r="J7" s="38">
        <v>7</v>
      </c>
      <c r="K7" s="38">
        <f t="shared" si="2"/>
        <v>19</v>
      </c>
      <c r="M7" s="42" t="s">
        <v>64</v>
      </c>
      <c r="N7" s="42"/>
      <c r="P7" s="34">
        <v>4</v>
      </c>
      <c r="Q7" s="38">
        <f>IF(Inputs!$B$9 = "Urban", B7, IF(Inputs!$B$9 = "Suburban", F7, IF(Inputs!$B$9 = "Rural",J7,"NA")))</f>
        <v>7</v>
      </c>
      <c r="R7" s="38">
        <f t="shared" si="3"/>
        <v>19</v>
      </c>
    </row>
    <row r="8" spans="1:18" x14ac:dyDescent="0.35">
      <c r="A8" s="34">
        <v>5</v>
      </c>
      <c r="B8" s="38">
        <v>8</v>
      </c>
      <c r="C8" s="38">
        <f t="shared" si="0"/>
        <v>59</v>
      </c>
      <c r="E8" s="34">
        <v>5</v>
      </c>
      <c r="F8" s="38">
        <v>10</v>
      </c>
      <c r="G8" s="38">
        <f t="shared" si="1"/>
        <v>41</v>
      </c>
      <c r="I8" s="34">
        <v>5</v>
      </c>
      <c r="J8" s="38">
        <v>9</v>
      </c>
      <c r="K8" s="38">
        <f t="shared" si="2"/>
        <v>28</v>
      </c>
      <c r="M8" s="4" t="s">
        <v>55</v>
      </c>
      <c r="N8" s="38">
        <f>IF(Inputs!B8 &gt; A24, 100, INDEX(Model_TripDistanceDistributions!$C$3:$C$24,MATCH(TRUE,INDEX(Model_TripDistanceDistributions!$A$3:$A$24&gt;(Inputs!B8/PI()),0),)))</f>
        <v>69.2</v>
      </c>
      <c r="P8" s="34">
        <v>5</v>
      </c>
      <c r="Q8" s="38">
        <f>IF(Inputs!$B$9 = "Urban", B8, IF(Inputs!$B$9 = "Suburban", F8, IF(Inputs!$B$9 = "Rural",J8,"NA")))</f>
        <v>9</v>
      </c>
      <c r="R8" s="38">
        <f t="shared" si="3"/>
        <v>28</v>
      </c>
    </row>
    <row r="9" spans="1:18" x14ac:dyDescent="0.35">
      <c r="A9" s="34">
        <v>6</v>
      </c>
      <c r="B9" s="38">
        <v>5.8</v>
      </c>
      <c r="C9" s="38">
        <f t="shared" si="0"/>
        <v>64.8</v>
      </c>
      <c r="E9" s="34">
        <v>6</v>
      </c>
      <c r="F9" s="38">
        <v>10</v>
      </c>
      <c r="G9" s="38">
        <f t="shared" si="1"/>
        <v>51</v>
      </c>
      <c r="I9" s="34">
        <v>6</v>
      </c>
      <c r="J9" s="38">
        <v>10</v>
      </c>
      <c r="K9" s="38">
        <f t="shared" si="2"/>
        <v>38</v>
      </c>
      <c r="M9" s="4" t="s">
        <v>56</v>
      </c>
      <c r="N9" s="38">
        <f>IF(Inputs!B8 &gt; E24, 100, INDEX(Model_TripDistanceDistributions!$G$3:$G$24,MATCH(TRUE,INDEX(Model_TripDistanceDistributions!$E$3:$E$24&gt;(Inputs!B8/PI()),0),)))</f>
        <v>60</v>
      </c>
      <c r="P9" s="34">
        <v>6</v>
      </c>
      <c r="Q9" s="38">
        <f>IF(Inputs!$B$9 = "Urban", B9, IF(Inputs!$B$9 = "Suburban", F9, IF(Inputs!$B$9 = "Rural",J9,"NA")))</f>
        <v>10</v>
      </c>
      <c r="R9" s="38">
        <f t="shared" si="3"/>
        <v>38</v>
      </c>
    </row>
    <row r="10" spans="1:18" x14ac:dyDescent="0.35">
      <c r="A10" s="34">
        <v>7</v>
      </c>
      <c r="B10" s="38">
        <v>4.4000000000000004</v>
      </c>
      <c r="C10" s="38">
        <f t="shared" si="0"/>
        <v>69.2</v>
      </c>
      <c r="E10" s="34">
        <v>7</v>
      </c>
      <c r="F10" s="38">
        <v>9</v>
      </c>
      <c r="G10" s="38">
        <f t="shared" si="1"/>
        <v>60</v>
      </c>
      <c r="I10" s="34">
        <v>7</v>
      </c>
      <c r="J10" s="38">
        <v>9.5</v>
      </c>
      <c r="K10" s="38">
        <f t="shared" si="2"/>
        <v>47.5</v>
      </c>
      <c r="M10" s="4" t="s">
        <v>57</v>
      </c>
      <c r="N10" s="38">
        <f>IF(Inputs!B8 &gt; I24, 100, INDEX(Model_TripDistanceDistributions!$K$3:$K$24,MATCH(TRUE,INDEX(Model_TripDistanceDistributions!$I$3:$I$24&gt;(Inputs!B8/PI()),0),)))</f>
        <v>47.5</v>
      </c>
      <c r="P10" s="34">
        <v>7</v>
      </c>
      <c r="Q10" s="38">
        <f>IF(Inputs!$B$9 = "Urban", B10, IF(Inputs!$B$9 = "Suburban", F10, IF(Inputs!$B$9 = "Rural",J10,"NA")))</f>
        <v>9.5</v>
      </c>
      <c r="R10" s="38">
        <f t="shared" si="3"/>
        <v>47.5</v>
      </c>
    </row>
    <row r="11" spans="1:18" x14ac:dyDescent="0.35">
      <c r="A11" s="34">
        <v>8</v>
      </c>
      <c r="B11" s="38">
        <v>3.6</v>
      </c>
      <c r="C11" s="38">
        <f t="shared" si="0"/>
        <v>72.8</v>
      </c>
      <c r="E11" s="34">
        <v>8</v>
      </c>
      <c r="F11" s="38">
        <v>8</v>
      </c>
      <c r="G11" s="38">
        <f t="shared" si="1"/>
        <v>68</v>
      </c>
      <c r="I11" s="34">
        <v>8</v>
      </c>
      <c r="J11" s="38">
        <v>8.1999999999999993</v>
      </c>
      <c r="K11" s="38">
        <f t="shared" si="2"/>
        <v>55.7</v>
      </c>
      <c r="P11" s="34">
        <v>8</v>
      </c>
      <c r="Q11" s="38">
        <f>IF(Inputs!$B$9 = "Urban", B11, IF(Inputs!$B$9 = "Suburban", F11, IF(Inputs!$B$9 = "Rural",J11,"NA")))</f>
        <v>8.1999999999999993</v>
      </c>
      <c r="R11" s="38">
        <f t="shared" si="3"/>
        <v>55.7</v>
      </c>
    </row>
    <row r="12" spans="1:18" x14ac:dyDescent="0.35">
      <c r="A12" s="34">
        <v>9</v>
      </c>
      <c r="B12" s="38">
        <v>3.2</v>
      </c>
      <c r="C12" s="38">
        <f t="shared" si="0"/>
        <v>76</v>
      </c>
      <c r="E12" s="34">
        <v>9</v>
      </c>
      <c r="F12" s="38">
        <v>5</v>
      </c>
      <c r="G12" s="38">
        <f t="shared" si="1"/>
        <v>73</v>
      </c>
      <c r="I12" s="34">
        <v>9</v>
      </c>
      <c r="J12" s="38">
        <v>7.1</v>
      </c>
      <c r="K12" s="38">
        <f t="shared" si="2"/>
        <v>62.800000000000004</v>
      </c>
      <c r="P12" s="34">
        <v>9</v>
      </c>
      <c r="Q12" s="38">
        <f>IF(Inputs!$B$9 = "Urban", B12, IF(Inputs!$B$9 = "Suburban", F12, IF(Inputs!$B$9 = "Rural",J12,"NA")))</f>
        <v>7.1</v>
      </c>
      <c r="R12" s="38">
        <f t="shared" si="3"/>
        <v>62.800000000000004</v>
      </c>
    </row>
    <row r="13" spans="1:18" x14ac:dyDescent="0.35">
      <c r="A13" s="34">
        <v>10</v>
      </c>
      <c r="B13" s="38">
        <v>2.9</v>
      </c>
      <c r="C13" s="38">
        <f t="shared" si="0"/>
        <v>78.900000000000006</v>
      </c>
      <c r="E13" s="34">
        <v>10</v>
      </c>
      <c r="F13" s="38">
        <v>4</v>
      </c>
      <c r="G13" s="38">
        <f t="shared" si="1"/>
        <v>77</v>
      </c>
      <c r="I13" s="34">
        <v>10</v>
      </c>
      <c r="J13" s="38">
        <v>5.9</v>
      </c>
      <c r="K13" s="38">
        <f t="shared" si="2"/>
        <v>68.7</v>
      </c>
      <c r="P13" s="34">
        <v>10</v>
      </c>
      <c r="Q13" s="38">
        <f>IF(Inputs!$B$9 = "Urban", B13, IF(Inputs!$B$9 = "Suburban", F13, IF(Inputs!$B$9 = "Rural",J13,"NA")))</f>
        <v>5.9</v>
      </c>
      <c r="R13" s="38">
        <f t="shared" si="3"/>
        <v>68.7</v>
      </c>
    </row>
    <row r="14" spans="1:18" x14ac:dyDescent="0.35">
      <c r="A14" s="34">
        <v>11</v>
      </c>
      <c r="B14" s="38">
        <v>2.5</v>
      </c>
      <c r="C14" s="38">
        <f t="shared" si="0"/>
        <v>81.400000000000006</v>
      </c>
      <c r="E14" s="34">
        <v>11</v>
      </c>
      <c r="F14" s="38">
        <v>3</v>
      </c>
      <c r="G14" s="38">
        <f t="shared" si="1"/>
        <v>80</v>
      </c>
      <c r="I14" s="34">
        <v>11</v>
      </c>
      <c r="J14" s="38">
        <v>5</v>
      </c>
      <c r="K14" s="38">
        <f t="shared" si="2"/>
        <v>73.7</v>
      </c>
      <c r="P14" s="34">
        <v>11</v>
      </c>
      <c r="Q14" s="38">
        <f>IF(Inputs!$B$9 = "Urban", B14, IF(Inputs!$B$9 = "Suburban", F14, IF(Inputs!$B$9 = "Rural",J14,"NA")))</f>
        <v>5</v>
      </c>
      <c r="R14" s="38">
        <f t="shared" si="3"/>
        <v>73.7</v>
      </c>
    </row>
    <row r="15" spans="1:18" x14ac:dyDescent="0.35">
      <c r="A15" s="34">
        <v>12</v>
      </c>
      <c r="B15" s="38">
        <v>2.2000000000000002</v>
      </c>
      <c r="C15" s="38">
        <f t="shared" si="0"/>
        <v>83.600000000000009</v>
      </c>
      <c r="E15" s="34">
        <v>12</v>
      </c>
      <c r="F15" s="38">
        <v>2.6</v>
      </c>
      <c r="G15" s="38">
        <f t="shared" si="1"/>
        <v>82.6</v>
      </c>
      <c r="I15" s="34">
        <v>12</v>
      </c>
      <c r="J15" s="38">
        <v>4.2</v>
      </c>
      <c r="K15" s="38">
        <f t="shared" si="2"/>
        <v>77.900000000000006</v>
      </c>
      <c r="P15" s="34">
        <v>12</v>
      </c>
      <c r="Q15" s="38">
        <f>IF(Inputs!$B$9 = "Urban", B15, IF(Inputs!$B$9 = "Suburban", F15, IF(Inputs!$B$9 = "Rural",J15,"NA")))</f>
        <v>4.2</v>
      </c>
      <c r="R15" s="38">
        <f t="shared" si="3"/>
        <v>77.900000000000006</v>
      </c>
    </row>
    <row r="16" spans="1:18" x14ac:dyDescent="0.35">
      <c r="A16" s="34">
        <v>13</v>
      </c>
      <c r="B16" s="38">
        <v>2</v>
      </c>
      <c r="C16" s="38">
        <f t="shared" si="0"/>
        <v>85.600000000000009</v>
      </c>
      <c r="E16" s="34">
        <v>13</v>
      </c>
      <c r="F16" s="38">
        <v>2</v>
      </c>
      <c r="G16" s="38">
        <f t="shared" si="1"/>
        <v>84.6</v>
      </c>
      <c r="I16" s="34">
        <v>13</v>
      </c>
      <c r="J16" s="38">
        <v>3.1</v>
      </c>
      <c r="K16" s="38">
        <f t="shared" si="2"/>
        <v>81</v>
      </c>
      <c r="P16" s="34">
        <v>13</v>
      </c>
      <c r="Q16" s="38">
        <f>IF(Inputs!$B$9 = "Urban", B16, IF(Inputs!$B$9 = "Suburban", F16, IF(Inputs!$B$9 = "Rural",J16,"NA")))</f>
        <v>3.1</v>
      </c>
      <c r="R16" s="38">
        <f t="shared" si="3"/>
        <v>81</v>
      </c>
    </row>
    <row r="17" spans="1:18" x14ac:dyDescent="0.35">
      <c r="A17" s="34">
        <v>14</v>
      </c>
      <c r="B17" s="38">
        <v>1.8</v>
      </c>
      <c r="C17" s="38">
        <f t="shared" si="0"/>
        <v>87.4</v>
      </c>
      <c r="E17" s="34">
        <v>14</v>
      </c>
      <c r="F17" s="38">
        <v>1.8</v>
      </c>
      <c r="G17" s="38">
        <f t="shared" si="1"/>
        <v>86.399999999999991</v>
      </c>
      <c r="I17" s="34">
        <v>14</v>
      </c>
      <c r="J17" s="38">
        <v>2.2000000000000002</v>
      </c>
      <c r="K17" s="38">
        <f t="shared" si="2"/>
        <v>83.2</v>
      </c>
      <c r="P17" s="34">
        <v>14</v>
      </c>
      <c r="Q17" s="38">
        <f>IF(Inputs!$B$9 = "Urban", B17, IF(Inputs!$B$9 = "Suburban", F17, IF(Inputs!$B$9 = "Rural",J17,"NA")))</f>
        <v>2.2000000000000002</v>
      </c>
      <c r="R17" s="38">
        <f t="shared" si="3"/>
        <v>83.2</v>
      </c>
    </row>
    <row r="18" spans="1:18" x14ac:dyDescent="0.35">
      <c r="A18" s="34">
        <v>15</v>
      </c>
      <c r="B18" s="38">
        <v>1.6</v>
      </c>
      <c r="C18" s="38">
        <f t="shared" si="0"/>
        <v>89</v>
      </c>
      <c r="E18" s="34">
        <v>15</v>
      </c>
      <c r="F18" s="38">
        <v>1.7</v>
      </c>
      <c r="G18" s="38">
        <f t="shared" si="1"/>
        <v>88.1</v>
      </c>
      <c r="I18" s="34">
        <v>15</v>
      </c>
      <c r="J18" s="38">
        <v>2</v>
      </c>
      <c r="K18" s="38">
        <f t="shared" si="2"/>
        <v>85.2</v>
      </c>
      <c r="P18" s="34">
        <v>15</v>
      </c>
      <c r="Q18" s="38">
        <f>IF(Inputs!$B$9 = "Urban", B18, IF(Inputs!$B$9 = "Suburban", F18, IF(Inputs!$B$9 = "Rural",J18,"NA")))</f>
        <v>2</v>
      </c>
      <c r="R18" s="38">
        <f t="shared" si="3"/>
        <v>85.2</v>
      </c>
    </row>
    <row r="19" spans="1:18" x14ac:dyDescent="0.35">
      <c r="A19" s="34">
        <v>16</v>
      </c>
      <c r="B19" s="38">
        <v>1.4</v>
      </c>
      <c r="C19" s="38">
        <f t="shared" si="0"/>
        <v>90.4</v>
      </c>
      <c r="E19" s="34">
        <v>16</v>
      </c>
      <c r="F19" s="38">
        <v>1.6</v>
      </c>
      <c r="G19" s="38">
        <f t="shared" si="1"/>
        <v>89.699999999999989</v>
      </c>
      <c r="I19" s="34">
        <v>16</v>
      </c>
      <c r="J19" s="38">
        <v>1.8</v>
      </c>
      <c r="K19" s="38">
        <f t="shared" si="2"/>
        <v>87</v>
      </c>
      <c r="P19" s="34">
        <v>16</v>
      </c>
      <c r="Q19" s="38">
        <f>IF(Inputs!$B$9 = "Urban", B19, IF(Inputs!$B$9 = "Suburban", F19, IF(Inputs!$B$9 = "Rural",J19,"NA")))</f>
        <v>1.8</v>
      </c>
      <c r="R19" s="38">
        <f t="shared" si="3"/>
        <v>87</v>
      </c>
    </row>
    <row r="20" spans="1:18" x14ac:dyDescent="0.35">
      <c r="A20" s="34">
        <v>17</v>
      </c>
      <c r="B20" s="38">
        <v>1.3</v>
      </c>
      <c r="C20" s="38">
        <f t="shared" si="0"/>
        <v>91.7</v>
      </c>
      <c r="E20" s="34">
        <v>17</v>
      </c>
      <c r="F20" s="38">
        <v>1.5</v>
      </c>
      <c r="G20" s="38">
        <f t="shared" si="1"/>
        <v>91.199999999999989</v>
      </c>
      <c r="I20" s="34">
        <v>17</v>
      </c>
      <c r="J20" s="38">
        <v>1.7</v>
      </c>
      <c r="K20" s="38">
        <f t="shared" si="2"/>
        <v>88.7</v>
      </c>
      <c r="P20" s="34">
        <v>17</v>
      </c>
      <c r="Q20" s="38">
        <f>IF(Inputs!$B$9 = "Urban", B20, IF(Inputs!$B$9 = "Suburban", F20, IF(Inputs!$B$9 = "Rural",J20,"NA")))</f>
        <v>1.7</v>
      </c>
      <c r="R20" s="38">
        <f t="shared" si="3"/>
        <v>88.7</v>
      </c>
    </row>
    <row r="21" spans="1:18" x14ac:dyDescent="0.35">
      <c r="A21" s="34">
        <v>18</v>
      </c>
      <c r="B21" s="38">
        <v>1.2</v>
      </c>
      <c r="C21" s="38">
        <f t="shared" si="0"/>
        <v>92.9</v>
      </c>
      <c r="E21" s="34">
        <v>18</v>
      </c>
      <c r="F21" s="38">
        <v>1.4</v>
      </c>
      <c r="G21" s="38">
        <f t="shared" si="1"/>
        <v>92.6</v>
      </c>
      <c r="I21" s="34">
        <v>18</v>
      </c>
      <c r="J21" s="38">
        <v>1.6</v>
      </c>
      <c r="K21" s="38">
        <f t="shared" si="2"/>
        <v>90.3</v>
      </c>
      <c r="P21" s="34">
        <v>18</v>
      </c>
      <c r="Q21" s="38">
        <f>IF(Inputs!$B$9 = "Urban", B21, IF(Inputs!$B$9 = "Suburban", F21, IF(Inputs!$B$9 = "Rural",J21,"NA")))</f>
        <v>1.6</v>
      </c>
      <c r="R21" s="38">
        <f t="shared" si="3"/>
        <v>90.3</v>
      </c>
    </row>
    <row r="22" spans="1:18" x14ac:dyDescent="0.35">
      <c r="A22" s="34">
        <v>19</v>
      </c>
      <c r="B22" s="38">
        <v>1.1000000000000001</v>
      </c>
      <c r="C22" s="38">
        <f t="shared" si="0"/>
        <v>94</v>
      </c>
      <c r="E22" s="34">
        <v>19</v>
      </c>
      <c r="F22" s="38">
        <v>1.1000000000000001</v>
      </c>
      <c r="G22" s="38">
        <f t="shared" si="1"/>
        <v>93.699999999999989</v>
      </c>
      <c r="I22" s="34">
        <v>19</v>
      </c>
      <c r="J22" s="38">
        <v>1.5</v>
      </c>
      <c r="K22" s="38">
        <f t="shared" si="2"/>
        <v>91.8</v>
      </c>
      <c r="P22" s="34">
        <v>19</v>
      </c>
      <c r="Q22" s="38">
        <f>IF(Inputs!$B$9 = "Urban", B22, IF(Inputs!$B$9 = "Suburban", F22, IF(Inputs!$B$9 = "Rural",J22,"NA")))</f>
        <v>1.5</v>
      </c>
      <c r="R22" s="38">
        <f t="shared" si="3"/>
        <v>91.8</v>
      </c>
    </row>
    <row r="23" spans="1:18" x14ac:dyDescent="0.35">
      <c r="A23" s="34">
        <v>20</v>
      </c>
      <c r="B23" s="38">
        <v>1</v>
      </c>
      <c r="C23" s="38">
        <f t="shared" si="0"/>
        <v>95</v>
      </c>
      <c r="E23" s="34">
        <v>20</v>
      </c>
      <c r="F23" s="38">
        <v>1</v>
      </c>
      <c r="G23" s="38">
        <f t="shared" si="1"/>
        <v>94.699999999999989</v>
      </c>
      <c r="I23" s="34">
        <v>20</v>
      </c>
      <c r="J23" s="38">
        <v>1.4</v>
      </c>
      <c r="K23" s="38">
        <f t="shared" si="2"/>
        <v>93.2</v>
      </c>
      <c r="P23" s="34">
        <v>20</v>
      </c>
      <c r="Q23" s="38">
        <f>IF(Inputs!$B$9 = "Urban", B23, IF(Inputs!$B$9 = "Suburban", F23, IF(Inputs!$B$9 = "Rural",J23,"NA")))</f>
        <v>1.4</v>
      </c>
      <c r="R23" s="38">
        <f t="shared" si="3"/>
        <v>93.2</v>
      </c>
    </row>
    <row r="24" spans="1:18" x14ac:dyDescent="0.35">
      <c r="A24" s="34">
        <v>21</v>
      </c>
      <c r="B24" s="38">
        <v>5</v>
      </c>
      <c r="C24" s="38">
        <f t="shared" si="0"/>
        <v>100</v>
      </c>
      <c r="E24" s="34">
        <v>21</v>
      </c>
      <c r="F24" s="38">
        <v>5.3</v>
      </c>
      <c r="G24" s="38">
        <f t="shared" si="1"/>
        <v>99.999999999999986</v>
      </c>
      <c r="I24" s="34">
        <v>21</v>
      </c>
      <c r="J24" s="38">
        <v>6.8</v>
      </c>
      <c r="K24" s="38">
        <f t="shared" si="2"/>
        <v>100</v>
      </c>
      <c r="P24" s="34">
        <v>21</v>
      </c>
      <c r="Q24" s="38">
        <f>IF(Inputs!$B$9 = "Urban", B24, IF(Inputs!$B$9 = "Suburban", F24, IF(Inputs!$B$9 = "Rural",J24,"NA")))</f>
        <v>6.8</v>
      </c>
      <c r="R24" s="38">
        <f t="shared" si="3"/>
        <v>100</v>
      </c>
    </row>
    <row r="25" spans="1:18" x14ac:dyDescent="0.35">
      <c r="C25" s="1"/>
    </row>
    <row r="26" spans="1:18" x14ac:dyDescent="0.35">
      <c r="A26" s="33" t="s">
        <v>130</v>
      </c>
      <c r="B26" s="32"/>
      <c r="C26" s="42"/>
      <c r="D26" s="32"/>
      <c r="E26" s="32"/>
      <c r="F26" s="32"/>
      <c r="G26" s="32"/>
      <c r="H26" s="32"/>
      <c r="I26" s="32"/>
    </row>
    <row r="27" spans="1:18" x14ac:dyDescent="0.35">
      <c r="A27" s="2" t="s">
        <v>132</v>
      </c>
      <c r="C27" s="31"/>
    </row>
    <row r="28" spans="1:18" x14ac:dyDescent="0.35">
      <c r="C28" s="1"/>
    </row>
    <row r="29" spans="1:18" x14ac:dyDescent="0.35">
      <c r="C29" s="1"/>
    </row>
    <row r="30" spans="1:18" x14ac:dyDescent="0.35">
      <c r="C30" s="1"/>
    </row>
    <row r="32" spans="1:18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</sheetData>
  <mergeCells count="4">
    <mergeCell ref="A1:C1"/>
    <mergeCell ref="E1:G1"/>
    <mergeCell ref="I1:K1"/>
    <mergeCell ref="P1:R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BA573-73AD-AF45-83F0-4B72EA3154F5}">
  <sheetPr>
    <tabColor theme="8" tint="0.59999389629810485"/>
  </sheetPr>
  <dimension ref="A1:J29"/>
  <sheetViews>
    <sheetView workbookViewId="0">
      <selection activeCell="G15" sqref="G15"/>
    </sheetView>
  </sheetViews>
  <sheetFormatPr defaultColWidth="10.6640625" defaultRowHeight="15.5" x14ac:dyDescent="0.35"/>
  <cols>
    <col min="1" max="3" width="10.83203125" style="2"/>
    <col min="4" max="4" width="13.1640625" style="2" customWidth="1"/>
    <col min="5" max="7" width="10.83203125" style="2"/>
    <col min="9" max="9" width="47.83203125" customWidth="1"/>
  </cols>
  <sheetData>
    <row r="1" spans="1:10" x14ac:dyDescent="0.35">
      <c r="A1" s="133" t="s">
        <v>134</v>
      </c>
      <c r="B1" s="133"/>
      <c r="C1" s="133"/>
      <c r="D1" s="133"/>
      <c r="E1" s="133"/>
      <c r="I1" s="42" t="s">
        <v>64</v>
      </c>
      <c r="J1" s="42"/>
    </row>
    <row r="2" spans="1:10" x14ac:dyDescent="0.35">
      <c r="A2" s="32" t="s">
        <v>42</v>
      </c>
      <c r="B2" s="32" t="s">
        <v>43</v>
      </c>
      <c r="C2" s="32" t="s">
        <v>44</v>
      </c>
      <c r="D2" s="33" t="s">
        <v>45</v>
      </c>
      <c r="E2" s="33" t="s">
        <v>46</v>
      </c>
      <c r="I2" s="47" t="s">
        <v>33</v>
      </c>
      <c r="J2" s="48">
        <f>(E12-E8) + (E22-E19)</f>
        <v>41</v>
      </c>
    </row>
    <row r="3" spans="1:10" x14ac:dyDescent="0.35">
      <c r="A3" s="34">
        <v>0</v>
      </c>
      <c r="B3" s="38">
        <v>2</v>
      </c>
      <c r="C3" s="38">
        <v>2</v>
      </c>
      <c r="D3" s="38">
        <f>(C3+B3)/2</f>
        <v>2</v>
      </c>
      <c r="E3" s="38">
        <f>D3</f>
        <v>2</v>
      </c>
      <c r="I3" s="47" t="s">
        <v>34</v>
      </c>
      <c r="J3" s="48">
        <f>(100 - J2)*0.7</f>
        <v>41.3</v>
      </c>
    </row>
    <row r="4" spans="1:10" x14ac:dyDescent="0.35">
      <c r="A4" s="34">
        <v>1</v>
      </c>
      <c r="B4" s="38">
        <v>2</v>
      </c>
      <c r="C4" s="38">
        <v>2</v>
      </c>
      <c r="D4" s="38">
        <f t="shared" ref="D4:D26" si="0">(C4+B4)/2</f>
        <v>2</v>
      </c>
      <c r="E4" s="38">
        <f>D4+E3</f>
        <v>4</v>
      </c>
      <c r="I4" s="47" t="s">
        <v>35</v>
      </c>
      <c r="J4" s="48">
        <f>100  - (J3+J2)</f>
        <v>17.700000000000003</v>
      </c>
    </row>
    <row r="5" spans="1:10" x14ac:dyDescent="0.35">
      <c r="A5" s="34">
        <v>2</v>
      </c>
      <c r="B5" s="38">
        <v>1</v>
      </c>
      <c r="C5" s="38">
        <v>2</v>
      </c>
      <c r="D5" s="38">
        <f t="shared" si="0"/>
        <v>1.5</v>
      </c>
      <c r="E5" s="38">
        <f t="shared" ref="E5:E26" si="1">D5+E4</f>
        <v>5.5</v>
      </c>
    </row>
    <row r="6" spans="1:10" x14ac:dyDescent="0.35">
      <c r="A6" s="34">
        <v>3</v>
      </c>
      <c r="B6" s="38">
        <v>1</v>
      </c>
      <c r="C6" s="38">
        <v>3</v>
      </c>
      <c r="D6" s="38">
        <f t="shared" si="0"/>
        <v>2</v>
      </c>
      <c r="E6" s="38">
        <f t="shared" si="1"/>
        <v>7.5</v>
      </c>
    </row>
    <row r="7" spans="1:10" x14ac:dyDescent="0.35">
      <c r="A7" s="34">
        <v>4</v>
      </c>
      <c r="B7" s="38">
        <v>3</v>
      </c>
      <c r="C7" s="38">
        <v>4</v>
      </c>
      <c r="D7" s="38">
        <f t="shared" si="0"/>
        <v>3.5</v>
      </c>
      <c r="E7" s="38">
        <f t="shared" si="1"/>
        <v>11</v>
      </c>
    </row>
    <row r="8" spans="1:10" x14ac:dyDescent="0.35">
      <c r="A8" s="34">
        <v>5</v>
      </c>
      <c r="B8" s="38">
        <v>5</v>
      </c>
      <c r="C8" s="38">
        <v>4</v>
      </c>
      <c r="D8" s="38">
        <f t="shared" si="0"/>
        <v>4.5</v>
      </c>
      <c r="E8" s="38">
        <f t="shared" si="1"/>
        <v>15.5</v>
      </c>
    </row>
    <row r="9" spans="1:10" x14ac:dyDescent="0.35">
      <c r="A9" s="34">
        <v>6</v>
      </c>
      <c r="B9" s="38">
        <v>9</v>
      </c>
      <c r="C9" s="38">
        <v>3</v>
      </c>
      <c r="D9" s="38">
        <f t="shared" si="0"/>
        <v>6</v>
      </c>
      <c r="E9" s="38">
        <f t="shared" si="1"/>
        <v>21.5</v>
      </c>
    </row>
    <row r="10" spans="1:10" x14ac:dyDescent="0.35">
      <c r="A10" s="34">
        <v>7</v>
      </c>
      <c r="B10" s="38">
        <v>13</v>
      </c>
      <c r="C10" s="38">
        <v>2</v>
      </c>
      <c r="D10" s="38">
        <f t="shared" si="0"/>
        <v>7.5</v>
      </c>
      <c r="E10" s="38">
        <f t="shared" si="1"/>
        <v>29</v>
      </c>
    </row>
    <row r="11" spans="1:10" x14ac:dyDescent="0.35">
      <c r="A11" s="34">
        <v>8</v>
      </c>
      <c r="B11" s="38">
        <v>12</v>
      </c>
      <c r="C11" s="38">
        <v>2</v>
      </c>
      <c r="D11" s="38">
        <f t="shared" si="0"/>
        <v>7</v>
      </c>
      <c r="E11" s="38">
        <f t="shared" si="1"/>
        <v>36</v>
      </c>
    </row>
    <row r="12" spans="1:10" x14ac:dyDescent="0.35">
      <c r="A12" s="34">
        <v>9</v>
      </c>
      <c r="B12" s="38">
        <v>9</v>
      </c>
      <c r="C12" s="38">
        <v>2</v>
      </c>
      <c r="D12" s="38">
        <f t="shared" si="0"/>
        <v>5.5</v>
      </c>
      <c r="E12" s="38">
        <f t="shared" si="1"/>
        <v>41.5</v>
      </c>
    </row>
    <row r="13" spans="1:10" x14ac:dyDescent="0.35">
      <c r="A13" s="34">
        <v>10</v>
      </c>
      <c r="B13" s="38">
        <v>6</v>
      </c>
      <c r="C13" s="38">
        <v>3</v>
      </c>
      <c r="D13" s="38">
        <f t="shared" si="0"/>
        <v>4.5</v>
      </c>
      <c r="E13" s="38">
        <f t="shared" si="1"/>
        <v>46</v>
      </c>
    </row>
    <row r="14" spans="1:10" x14ac:dyDescent="0.35">
      <c r="A14" s="34">
        <v>11</v>
      </c>
      <c r="B14" s="38">
        <v>4</v>
      </c>
      <c r="C14" s="38">
        <v>4</v>
      </c>
      <c r="D14" s="38">
        <f t="shared" si="0"/>
        <v>4</v>
      </c>
      <c r="E14" s="38">
        <f t="shared" si="1"/>
        <v>50</v>
      </c>
    </row>
    <row r="15" spans="1:10" x14ac:dyDescent="0.35">
      <c r="A15" s="34">
        <v>12</v>
      </c>
      <c r="B15" s="38">
        <v>3</v>
      </c>
      <c r="C15" s="38">
        <v>5</v>
      </c>
      <c r="D15" s="38">
        <f t="shared" si="0"/>
        <v>4</v>
      </c>
      <c r="E15" s="38">
        <f t="shared" si="1"/>
        <v>54</v>
      </c>
    </row>
    <row r="16" spans="1:10" x14ac:dyDescent="0.35">
      <c r="A16" s="34">
        <v>13</v>
      </c>
      <c r="B16" s="38">
        <v>2</v>
      </c>
      <c r="C16" s="38">
        <v>6</v>
      </c>
      <c r="D16" s="38">
        <f t="shared" si="0"/>
        <v>4</v>
      </c>
      <c r="E16" s="38">
        <f t="shared" si="1"/>
        <v>58</v>
      </c>
    </row>
    <row r="17" spans="1:7" x14ac:dyDescent="0.35">
      <c r="A17" s="34">
        <v>14</v>
      </c>
      <c r="B17" s="38">
        <v>2</v>
      </c>
      <c r="C17" s="38">
        <v>7</v>
      </c>
      <c r="D17" s="38">
        <f t="shared" si="0"/>
        <v>4.5</v>
      </c>
      <c r="E17" s="38">
        <f t="shared" si="1"/>
        <v>62.5</v>
      </c>
    </row>
    <row r="18" spans="1:7" x14ac:dyDescent="0.35">
      <c r="A18" s="34">
        <v>15</v>
      </c>
      <c r="B18" s="38">
        <v>2</v>
      </c>
      <c r="C18" s="38">
        <v>9</v>
      </c>
      <c r="D18" s="38">
        <f t="shared" si="0"/>
        <v>5.5</v>
      </c>
      <c r="E18" s="38">
        <f t="shared" si="1"/>
        <v>68</v>
      </c>
    </row>
    <row r="19" spans="1:7" x14ac:dyDescent="0.35">
      <c r="A19" s="34">
        <v>16</v>
      </c>
      <c r="B19" s="38">
        <v>2</v>
      </c>
      <c r="C19" s="38">
        <v>9</v>
      </c>
      <c r="D19" s="38">
        <f t="shared" si="0"/>
        <v>5.5</v>
      </c>
      <c r="E19" s="38">
        <f t="shared" si="1"/>
        <v>73.5</v>
      </c>
    </row>
    <row r="20" spans="1:7" x14ac:dyDescent="0.35">
      <c r="A20" s="34">
        <v>17</v>
      </c>
      <c r="B20" s="38">
        <v>3</v>
      </c>
      <c r="C20" s="38">
        <v>8</v>
      </c>
      <c r="D20" s="38">
        <f t="shared" si="0"/>
        <v>5.5</v>
      </c>
      <c r="E20" s="38">
        <f t="shared" si="1"/>
        <v>79</v>
      </c>
    </row>
    <row r="21" spans="1:7" x14ac:dyDescent="0.35">
      <c r="A21" s="34">
        <v>18</v>
      </c>
      <c r="B21" s="38">
        <v>3</v>
      </c>
      <c r="C21" s="38">
        <v>7</v>
      </c>
      <c r="D21" s="38">
        <f t="shared" si="0"/>
        <v>5</v>
      </c>
      <c r="E21" s="38">
        <f t="shared" si="1"/>
        <v>84</v>
      </c>
    </row>
    <row r="22" spans="1:7" x14ac:dyDescent="0.35">
      <c r="A22" s="34">
        <v>19</v>
      </c>
      <c r="B22" s="38">
        <v>4</v>
      </c>
      <c r="C22" s="38">
        <v>5</v>
      </c>
      <c r="D22" s="38">
        <f t="shared" si="0"/>
        <v>4.5</v>
      </c>
      <c r="E22" s="38">
        <f t="shared" si="1"/>
        <v>88.5</v>
      </c>
    </row>
    <row r="23" spans="1:7" x14ac:dyDescent="0.35">
      <c r="A23" s="34">
        <v>20</v>
      </c>
      <c r="B23" s="38">
        <v>4</v>
      </c>
      <c r="C23" s="38">
        <v>3</v>
      </c>
      <c r="D23" s="38">
        <f t="shared" si="0"/>
        <v>3.5</v>
      </c>
      <c r="E23" s="38">
        <f t="shared" si="1"/>
        <v>92</v>
      </c>
    </row>
    <row r="24" spans="1:7" x14ac:dyDescent="0.35">
      <c r="A24" s="34">
        <v>21</v>
      </c>
      <c r="B24" s="38">
        <v>3</v>
      </c>
      <c r="C24" s="38">
        <v>3</v>
      </c>
      <c r="D24" s="38">
        <f t="shared" si="0"/>
        <v>3</v>
      </c>
      <c r="E24" s="38">
        <f t="shared" si="1"/>
        <v>95</v>
      </c>
    </row>
    <row r="25" spans="1:7" x14ac:dyDescent="0.35">
      <c r="A25" s="34">
        <v>22</v>
      </c>
      <c r="B25" s="38">
        <v>3</v>
      </c>
      <c r="C25" s="38">
        <v>3</v>
      </c>
      <c r="D25" s="38">
        <f t="shared" si="0"/>
        <v>3</v>
      </c>
      <c r="E25" s="38">
        <f t="shared" si="1"/>
        <v>98</v>
      </c>
    </row>
    <row r="26" spans="1:7" x14ac:dyDescent="0.35">
      <c r="A26" s="34">
        <v>23</v>
      </c>
      <c r="B26" s="38">
        <v>2</v>
      </c>
      <c r="C26" s="38">
        <v>2</v>
      </c>
      <c r="D26" s="38">
        <f t="shared" si="0"/>
        <v>2</v>
      </c>
      <c r="E26" s="38">
        <f t="shared" si="1"/>
        <v>100</v>
      </c>
    </row>
    <row r="28" spans="1:7" x14ac:dyDescent="0.35">
      <c r="A28" s="33" t="s">
        <v>130</v>
      </c>
      <c r="B28" s="32"/>
      <c r="C28" s="42"/>
      <c r="D28" s="32"/>
      <c r="E28" s="32"/>
      <c r="F28" s="32"/>
      <c r="G28" s="32"/>
    </row>
    <row r="29" spans="1:7" x14ac:dyDescent="0.35">
      <c r="A29" s="2" t="s">
        <v>133</v>
      </c>
      <c r="C29" s="31"/>
    </row>
  </sheetData>
  <mergeCells count="1">
    <mergeCell ref="A1:E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1B793-6CAC-9E4A-AA36-F4A86A4B17D5}">
  <sheetPr>
    <tabColor theme="8" tint="0.59999389629810485"/>
  </sheetPr>
  <dimension ref="A1:B10"/>
  <sheetViews>
    <sheetView workbookViewId="0">
      <selection activeCell="I9" sqref="I9"/>
    </sheetView>
  </sheetViews>
  <sheetFormatPr defaultColWidth="10.6640625" defaultRowHeight="15.5" x14ac:dyDescent="0.35"/>
  <cols>
    <col min="1" max="1" width="43.1640625" bestFit="1" customWidth="1"/>
    <col min="2" max="2" width="18.33203125" bestFit="1" customWidth="1"/>
  </cols>
  <sheetData>
    <row r="1" spans="1:2" x14ac:dyDescent="0.35">
      <c r="A1" s="42" t="s">
        <v>66</v>
      </c>
      <c r="B1" s="42"/>
    </row>
    <row r="2" spans="1:2" x14ac:dyDescent="0.35">
      <c r="A2" s="2" t="s">
        <v>68</v>
      </c>
      <c r="B2" s="38">
        <v>3.0998000000000001</v>
      </c>
    </row>
    <row r="3" spans="1:2" x14ac:dyDescent="0.35">
      <c r="A3" s="2" t="s">
        <v>69</v>
      </c>
      <c r="B3" s="38">
        <v>-1.5399999999999999E-3</v>
      </c>
    </row>
    <row r="4" spans="1:2" x14ac:dyDescent="0.35">
      <c r="A4" s="2" t="s">
        <v>70</v>
      </c>
      <c r="B4" s="38">
        <v>809</v>
      </c>
    </row>
    <row r="5" spans="1:2" x14ac:dyDescent="0.35">
      <c r="A5" s="2" t="s">
        <v>71</v>
      </c>
      <c r="B5" s="38">
        <v>20.219000000000001</v>
      </c>
    </row>
    <row r="6" spans="1:2" x14ac:dyDescent="0.35">
      <c r="A6" s="2" t="s">
        <v>72</v>
      </c>
      <c r="B6" s="38">
        <v>-9.2099999999999994E-3</v>
      </c>
    </row>
    <row r="7" spans="1:2" x14ac:dyDescent="0.35">
      <c r="A7" s="2" t="s">
        <v>73</v>
      </c>
      <c r="B7" s="38">
        <v>2471</v>
      </c>
    </row>
    <row r="8" spans="1:2" x14ac:dyDescent="0.35">
      <c r="A8" s="2" t="s">
        <v>74</v>
      </c>
      <c r="B8" s="38">
        <v>5.0499999999999998E-3</v>
      </c>
    </row>
    <row r="9" spans="1:2" x14ac:dyDescent="0.35">
      <c r="A9" s="2" t="s">
        <v>75</v>
      </c>
      <c r="B9" s="38">
        <v>-2.8100000000000002E-6</v>
      </c>
    </row>
    <row r="10" spans="1:2" x14ac:dyDescent="0.35">
      <c r="A10" s="2" t="s">
        <v>76</v>
      </c>
      <c r="B10" s="38">
        <v>0.44400000000000001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Introduction</vt:lpstr>
      <vt:lpstr>Inputs</vt:lpstr>
      <vt:lpstr>Dashboard</vt:lpstr>
      <vt:lpstr>Model_TripData</vt:lpstr>
      <vt:lpstr>Model_CostBenefits</vt:lpstr>
      <vt:lpstr>Model_TripDistanceDistributions</vt:lpstr>
      <vt:lpstr>Model_TripTimeDistributions</vt:lpstr>
      <vt:lpstr>Model_KPIcoefficients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Johanna Lehtmets</cp:lastModifiedBy>
  <dcterms:created xsi:type="dcterms:W3CDTF">2020-03-12T18:15:21Z</dcterms:created>
  <dcterms:modified xsi:type="dcterms:W3CDTF">2021-12-03T14:09:02Z</dcterms:modified>
</cp:coreProperties>
</file>